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5" yWindow="255" windowWidth="11355" windowHeight="9945" tabRatio="468" activeTab="1"/>
  </bookViews>
  <sheets>
    <sheet name="Combined" sheetId="1" r:id="rId1"/>
    <sheet name="FireEMS" sheetId="2" r:id="rId2"/>
    <sheet name="Police" sheetId="3" r:id="rId3"/>
  </sheets>
  <definedNames>
    <definedName name="_xlnm.Print_Area" localSheetId="0">'Combined'!$A$1:$X$38</definedName>
  </definedNames>
  <calcPr fullCalcOnLoad="1"/>
</workbook>
</file>

<file path=xl/comments1.xml><?xml version="1.0" encoding="utf-8"?>
<comments xmlns="http://schemas.openxmlformats.org/spreadsheetml/2006/main">
  <authors>
    <author>City of Columbus</author>
  </authors>
  <commentList>
    <comment ref="L38" authorId="0">
      <text>
        <r>
          <rPr>
            <sz val="8"/>
            <rFont val="Tahoma"/>
            <family val="2"/>
          </rPr>
          <t>Fire:  $49,088,980
EMS:  $12,474,176</t>
        </r>
      </text>
    </comment>
    <comment ref="G38" authorId="0">
      <text>
        <r>
          <rPr>
            <sz val="8"/>
            <rFont val="Tahoma"/>
            <family val="2"/>
          </rPr>
          <t>Fire:  653
EMS:  177</t>
        </r>
      </text>
    </comment>
    <comment ref="H38" authorId="0">
      <text>
        <r>
          <rPr>
            <sz val="8"/>
            <rFont val="Tahoma"/>
            <family val="2"/>
          </rPr>
          <t>15 Fire
6 EMS</t>
        </r>
      </text>
    </comment>
    <comment ref="G36" authorId="0">
      <text>
        <r>
          <rPr>
            <sz val="8"/>
            <rFont val="Tahoma"/>
            <family val="2"/>
          </rPr>
          <t>Fire:  879
EMS:  302</t>
        </r>
      </text>
    </comment>
    <comment ref="H36" authorId="0">
      <text>
        <r>
          <rPr>
            <sz val="8"/>
            <rFont val="Tahoma"/>
            <family val="2"/>
          </rPr>
          <t>Fire:  10
EMS:  4</t>
        </r>
      </text>
    </comment>
    <comment ref="L36" authorId="0">
      <text>
        <r>
          <rPr>
            <sz val="8"/>
            <rFont val="Tahoma"/>
            <family val="2"/>
          </rPr>
          <t xml:space="preserve">Fire: $ 90,520,000
EMS:  $23,530,000
</t>
        </r>
      </text>
    </comment>
    <comment ref="L31" authorId="0">
      <text>
        <r>
          <rPr>
            <sz val="8"/>
            <rFont val="Tahoma"/>
            <family val="2"/>
          </rPr>
          <t>Fire:  $159,616,291
EMS:  $11,378,669
EMS is part of Boston Public Health.</t>
        </r>
      </text>
    </comment>
    <comment ref="O29" authorId="0">
      <text>
        <r>
          <rPr>
            <sz val="8"/>
            <rFont val="Tahoma"/>
            <family val="2"/>
          </rPr>
          <t xml:space="preserve">Source:  Email to Finance 06/24/08 and response 06/27/08.
</t>
        </r>
      </text>
    </comment>
    <comment ref="P29" authorId="0">
      <text>
        <r>
          <rPr>
            <sz val="8"/>
            <rFont val="Tahoma"/>
            <family val="2"/>
          </rPr>
          <t>Source:  email to Finance 06/24/08 and response 06/27/08</t>
        </r>
      </text>
    </comment>
    <comment ref="F29" authorId="0">
      <text>
        <r>
          <rPr>
            <sz val="8"/>
            <rFont val="Tahoma"/>
            <family val="2"/>
          </rPr>
          <t xml:space="preserve">Source:  Phone call to El Paso FD  5/20/08; confirmed by Fire's website of station locations.
</t>
        </r>
      </text>
    </comment>
    <comment ref="G29" authorId="0">
      <text>
        <r>
          <rPr>
            <sz val="8"/>
            <rFont val="Tahoma"/>
            <family val="2"/>
          </rPr>
          <t>Source:  Phone call to El Paso FD  5/20/08; Finance 06/24/08</t>
        </r>
      </text>
    </comment>
    <comment ref="H29" authorId="0">
      <text>
        <r>
          <rPr>
            <sz val="8"/>
            <rFont val="Tahoma"/>
            <family val="2"/>
          </rPr>
          <t>Source:  Phone call to El Paso FD  5/20/08; Finance 06/24/08</t>
        </r>
      </text>
    </comment>
    <comment ref="O28" authorId="0">
      <text>
        <r>
          <rPr>
            <sz val="8"/>
            <rFont val="Tahoma"/>
            <family val="2"/>
          </rPr>
          <t>Source:  Phone call to Baltimore PD  5/21/08; Finance 06/24/08.</t>
        </r>
      </text>
    </comment>
    <comment ref="P28" authorId="0">
      <text>
        <r>
          <rPr>
            <sz val="8"/>
            <rFont val="Tahoma"/>
            <family val="2"/>
          </rPr>
          <t>Source:  Phone call to Baltimore PD  5/21/08; Finance 06/24/08</t>
        </r>
      </text>
    </comment>
    <comment ref="F27" authorId="0">
      <text>
        <r>
          <rPr>
            <sz val="8"/>
            <rFont val="Tahoma"/>
            <family val="2"/>
          </rPr>
          <t>Source:  Phone call to CFD  5/21/08</t>
        </r>
      </text>
    </comment>
    <comment ref="G27" authorId="0">
      <text>
        <r>
          <rPr>
            <sz val="8"/>
            <rFont val="Tahoma"/>
            <family val="2"/>
          </rPr>
          <t>Source:  Phone call to CFD  5/21/08</t>
        </r>
        <r>
          <rPr>
            <sz val="8"/>
            <rFont val="Tahoma"/>
            <family val="0"/>
          </rPr>
          <t xml:space="preserve">
</t>
        </r>
      </text>
    </comment>
    <comment ref="H27" authorId="0">
      <text>
        <r>
          <rPr>
            <sz val="8"/>
            <rFont val="Tahoma"/>
            <family val="2"/>
          </rPr>
          <t>Source:  Phone call to CFD  5/21/08</t>
        </r>
        <r>
          <rPr>
            <sz val="8"/>
            <rFont val="Tahoma"/>
            <family val="0"/>
          </rPr>
          <t xml:space="preserve">
</t>
        </r>
      </text>
    </comment>
    <comment ref="C22" authorId="0">
      <text>
        <r>
          <rPr>
            <sz val="8"/>
            <rFont val="Tahoma"/>
            <family val="2"/>
          </rPr>
          <t>Number of employees from the 07-08 SF Annual Salary Ordinance and does not include port, airport or grant-funded positions.</t>
        </r>
        <r>
          <rPr>
            <sz val="8"/>
            <rFont val="Tahoma"/>
            <family val="0"/>
          </rPr>
          <t xml:space="preserve">
</t>
        </r>
      </text>
    </comment>
    <comment ref="G28" authorId="0">
      <text>
        <r>
          <rPr>
            <b/>
            <sz val="8"/>
            <rFont val="Tahoma"/>
            <family val="0"/>
          </rPr>
          <t>City of Columbus:</t>
        </r>
        <r>
          <rPr>
            <sz val="8"/>
            <rFont val="Tahoma"/>
            <family val="0"/>
          </rPr>
          <t xml:space="preserve">
Phone call to Finance 06/24/08</t>
        </r>
      </text>
    </comment>
    <comment ref="H28" authorId="0">
      <text>
        <r>
          <rPr>
            <b/>
            <sz val="8"/>
            <rFont val="Tahoma"/>
            <family val="0"/>
          </rPr>
          <t>City of Columbus:</t>
        </r>
        <r>
          <rPr>
            <sz val="8"/>
            <rFont val="Tahoma"/>
            <family val="0"/>
          </rPr>
          <t xml:space="preserve">
Phone call to Finance 06/24/08</t>
        </r>
      </text>
    </comment>
    <comment ref="G31" authorId="0">
      <text>
        <r>
          <rPr>
            <sz val="8"/>
            <rFont val="Tahoma"/>
            <family val="0"/>
          </rPr>
          <t>Includes 351 EMS civilians in Health</t>
        </r>
      </text>
    </comment>
    <comment ref="T33" authorId="0">
      <text>
        <r>
          <rPr>
            <sz val="8"/>
            <rFont val="Tahoma"/>
            <family val="2"/>
          </rPr>
          <t>GSD:  $150,737,400
USD:  $481,000</t>
        </r>
      </text>
    </comment>
    <comment ref="L33" authorId="0">
      <text>
        <r>
          <rPr>
            <sz val="8"/>
            <rFont val="Tahoma"/>
            <family val="2"/>
          </rPr>
          <t>GSD:  $49,853,300
USD:  $65,019,400</t>
        </r>
      </text>
    </comment>
    <comment ref="E33" authorId="0">
      <text>
        <r>
          <rPr>
            <sz val="8"/>
            <rFont val="Tahoma"/>
            <family val="0"/>
          </rPr>
          <t xml:space="preserve">USD is 169 square miles
</t>
        </r>
      </text>
    </comment>
  </commentList>
</comments>
</file>

<file path=xl/comments2.xml><?xml version="1.0" encoding="utf-8"?>
<comments xmlns="http://schemas.openxmlformats.org/spreadsheetml/2006/main">
  <authors>
    <author>City of Columbus</author>
  </authors>
  <commentList>
    <comment ref="A4" authorId="0">
      <text>
        <r>
          <rPr>
            <sz val="8"/>
            <rFont val="Tahoma"/>
            <family val="2"/>
          </rPr>
          <t>Number of employees from the 07-08 SF Annual Salary Ordinance and does not include port, airport or grant-funded positions.</t>
        </r>
        <r>
          <rPr>
            <sz val="8"/>
            <rFont val="Tahoma"/>
            <family val="0"/>
          </rPr>
          <t xml:space="preserve">
</t>
        </r>
      </text>
    </comment>
    <comment ref="I26" authorId="0">
      <text>
        <r>
          <rPr>
            <sz val="8"/>
            <rFont val="Tahoma"/>
            <family val="2"/>
          </rPr>
          <t>Source:  Phone call to CFD  5/21/08</t>
        </r>
      </text>
    </comment>
    <comment ref="J26" authorId="0">
      <text>
        <r>
          <rPr>
            <sz val="8"/>
            <rFont val="Tahoma"/>
            <family val="2"/>
          </rPr>
          <t>Source:  Phone call to CFD  5/21/08</t>
        </r>
        <r>
          <rPr>
            <sz val="8"/>
            <rFont val="Tahoma"/>
            <family val="0"/>
          </rPr>
          <t xml:space="preserve">
</t>
        </r>
      </text>
    </comment>
    <comment ref="K26" authorId="0">
      <text>
        <r>
          <rPr>
            <sz val="8"/>
            <rFont val="Tahoma"/>
            <family val="2"/>
          </rPr>
          <t>Source:  Phone call to CFD  5/21/08</t>
        </r>
        <r>
          <rPr>
            <sz val="8"/>
            <rFont val="Tahoma"/>
            <family val="0"/>
          </rPr>
          <t xml:space="preserve">
</t>
        </r>
      </text>
    </comment>
    <comment ref="J7" authorId="0">
      <text>
        <r>
          <rPr>
            <sz val="8"/>
            <rFont val="Tahoma"/>
            <family val="0"/>
          </rPr>
          <t>Phone call to Finance 06/24/08</t>
        </r>
      </text>
    </comment>
    <comment ref="K7" authorId="0">
      <text>
        <r>
          <rPr>
            <sz val="8"/>
            <rFont val="Tahoma"/>
            <family val="0"/>
          </rPr>
          <t>Phone call to Finance 06/24/08</t>
        </r>
      </text>
    </comment>
    <comment ref="I27" authorId="0">
      <text>
        <r>
          <rPr>
            <sz val="8"/>
            <rFont val="Tahoma"/>
            <family val="2"/>
          </rPr>
          <t xml:space="preserve">Source:  Phone call to El Paso FD  5/20/08; confirmed by Fire's website of station locations.
</t>
        </r>
      </text>
    </comment>
    <comment ref="J27" authorId="0">
      <text>
        <r>
          <rPr>
            <sz val="8"/>
            <rFont val="Tahoma"/>
            <family val="2"/>
          </rPr>
          <t>Source:  Phone call to El Paso FD  5/20/08; Finance 06/24/08</t>
        </r>
      </text>
    </comment>
    <comment ref="K27" authorId="0">
      <text>
        <r>
          <rPr>
            <sz val="8"/>
            <rFont val="Tahoma"/>
            <family val="2"/>
          </rPr>
          <t>Source:  Phone call to El Paso FD  5/20/08; Finance 06/24/08</t>
        </r>
      </text>
    </comment>
    <comment ref="J3" authorId="0">
      <text>
        <r>
          <rPr>
            <sz val="8"/>
            <rFont val="Tahoma"/>
            <family val="0"/>
          </rPr>
          <t>Includes 351 EMS civilians in Health</t>
        </r>
      </text>
    </comment>
    <comment ref="O3" authorId="0">
      <text>
        <r>
          <rPr>
            <sz val="8"/>
            <rFont val="Tahoma"/>
            <family val="2"/>
          </rPr>
          <t>Fire:  $159,616,291
EMS:  $11,378,669
EMS is part of Boston Public Health.</t>
        </r>
      </text>
    </comment>
    <comment ref="H10" authorId="0">
      <text>
        <r>
          <rPr>
            <sz val="8"/>
            <rFont val="Tahoma"/>
            <family val="0"/>
          </rPr>
          <t xml:space="preserve">USD is 169 square miles
</t>
        </r>
      </text>
    </comment>
    <comment ref="O10" authorId="0">
      <text>
        <r>
          <rPr>
            <sz val="8"/>
            <rFont val="Tahoma"/>
            <family val="2"/>
          </rPr>
          <t>GSD:  $49,853,300
USD:  $65,019,400</t>
        </r>
      </text>
    </comment>
  </commentList>
</comments>
</file>

<file path=xl/comments3.xml><?xml version="1.0" encoding="utf-8"?>
<comments xmlns="http://schemas.openxmlformats.org/spreadsheetml/2006/main">
  <authors>
    <author>City of Columbus</author>
  </authors>
  <commentList>
    <comment ref="B5" authorId="0">
      <text>
        <r>
          <rPr>
            <sz val="8"/>
            <rFont val="Tahoma"/>
            <family val="2"/>
          </rPr>
          <t>Number of employees from the 07-08 SF Annual Salary Ordinance and does not include port, airport or grant-funded positions.</t>
        </r>
        <r>
          <rPr>
            <sz val="8"/>
            <rFont val="Tahoma"/>
            <family val="0"/>
          </rPr>
          <t xml:space="preserve">
</t>
        </r>
      </text>
    </comment>
    <comment ref="G4" authorId="0">
      <text>
        <r>
          <rPr>
            <sz val="8"/>
            <rFont val="Tahoma"/>
            <family val="2"/>
          </rPr>
          <t>Source:  Phone call to Baltimore PD  5/21/08; Finance 06/24/08.</t>
        </r>
      </text>
    </comment>
    <comment ref="H4" authorId="0">
      <text>
        <r>
          <rPr>
            <sz val="8"/>
            <rFont val="Tahoma"/>
            <family val="2"/>
          </rPr>
          <t>Source:  Phone call to Baltimore PD  5/21/08; Finance 06/24/08</t>
        </r>
      </text>
    </comment>
    <comment ref="G27" authorId="0">
      <text>
        <r>
          <rPr>
            <sz val="8"/>
            <rFont val="Tahoma"/>
            <family val="2"/>
          </rPr>
          <t xml:space="preserve">Source:  Email to Finance 06/24/08 and response 06/27/08.
</t>
        </r>
      </text>
    </comment>
    <comment ref="H27" authorId="0">
      <text>
        <r>
          <rPr>
            <sz val="8"/>
            <rFont val="Tahoma"/>
            <family val="2"/>
          </rPr>
          <t>Source:  email to Finance 06/24/08 and response 06/27/08</t>
        </r>
      </text>
    </comment>
    <comment ref="F24" authorId="0">
      <text>
        <r>
          <rPr>
            <sz val="8"/>
            <rFont val="Tahoma"/>
            <family val="0"/>
          </rPr>
          <t xml:space="preserve">USD is 169 square miles
</t>
        </r>
      </text>
    </comment>
    <comment ref="K24" authorId="0">
      <text>
        <r>
          <rPr>
            <sz val="8"/>
            <rFont val="Tahoma"/>
            <family val="2"/>
          </rPr>
          <t>GSD:  $150,737,400
USD:  $481,000</t>
        </r>
      </text>
    </comment>
  </commentList>
</comments>
</file>

<file path=xl/sharedStrings.xml><?xml version="1.0" encoding="utf-8"?>
<sst xmlns="http://schemas.openxmlformats.org/spreadsheetml/2006/main" count="288" uniqueCount="166">
  <si>
    <t>The City of Columbus, Ohio</t>
  </si>
  <si>
    <t>Department of Public Safety</t>
  </si>
  <si>
    <t>City</t>
  </si>
  <si>
    <t>New York</t>
  </si>
  <si>
    <t>Houston</t>
  </si>
  <si>
    <t>Philadelphia</t>
  </si>
  <si>
    <t>Phoenix</t>
  </si>
  <si>
    <t>San Antonio</t>
  </si>
  <si>
    <t>Detroit</t>
  </si>
  <si>
    <t>San Jose</t>
  </si>
  <si>
    <t>Indianapolis</t>
  </si>
  <si>
    <t>Rank</t>
  </si>
  <si>
    <t>Columbus</t>
  </si>
  <si>
    <t>Austin</t>
  </si>
  <si>
    <t>Boston</t>
  </si>
  <si>
    <t>Pittsburgh</t>
  </si>
  <si>
    <t>Cincinnati</t>
  </si>
  <si>
    <t>* 42 Hour work week schedule.</t>
  </si>
  <si>
    <t>**56 Hour work week schedule</t>
  </si>
  <si>
    <t xml:space="preserve"> to Civilians</t>
  </si>
  <si>
    <t>Cleveland: Provided by City personnel - separate division for EMS Fire figure represents both.</t>
  </si>
  <si>
    <t>Milwaukee:  Revenue Sharing and Resident vs. Non Resident price difference for BLS.</t>
  </si>
  <si>
    <t>Memphis: Bills everything as an ALS the $400 is for transport and the $150 is for non transport.</t>
  </si>
  <si>
    <t>Notes:</t>
  </si>
  <si>
    <t>Cleveland</t>
  </si>
  <si>
    <t>Milwaukee</t>
  </si>
  <si>
    <t>Memphis</t>
  </si>
  <si>
    <t>Austin: Separate EMS Department with uniformed personnel.</t>
  </si>
  <si>
    <t>Pittsburgh: Separate EMS Department with uniformed personnel.</t>
  </si>
  <si>
    <t>San Diego: Includes a Medical Service Fund.</t>
  </si>
  <si>
    <t>Based on 2006 Proposed Budget</t>
  </si>
  <si>
    <t>Washington DC</t>
  </si>
  <si>
    <t>El Paso</t>
  </si>
  <si>
    <t>Seattle</t>
  </si>
  <si>
    <t>Denver</t>
  </si>
  <si>
    <t>2000 Population</t>
  </si>
  <si>
    <t>Seattle:  Includes Police and Fire Pension Funds.</t>
  </si>
  <si>
    <t>Indianapolis: Includes Police and Fire Pension Funds.</t>
  </si>
  <si>
    <t>Charlotte</t>
  </si>
  <si>
    <t>Fort Worth</t>
  </si>
  <si>
    <t>Dallas</t>
  </si>
  <si>
    <t>* Full-Time Uniformed and Civilians are estimated based on a percentage of 2002 Numbers to total 2006 Staff.</t>
  </si>
  <si>
    <t>San Francisco</t>
  </si>
  <si>
    <t>San Diego</t>
  </si>
  <si>
    <t>San Francisco: Separate Emergency Communications Department added to Police</t>
  </si>
  <si>
    <t>Nashville - Davidson County - Includes City and County Budget Data as one.  Police figure include sheriff's office.</t>
  </si>
  <si>
    <t>New York EMS/Paramedics are civilians firefighters work 24 on 63 off.</t>
  </si>
  <si>
    <t>Baltimore</t>
  </si>
  <si>
    <t>Los Angeles</t>
  </si>
  <si>
    <t>Chicago</t>
  </si>
  <si>
    <t>1990 Census Population</t>
  </si>
  <si>
    <t>2000 Census Population</t>
  </si>
  <si>
    <t>Current Square Miles</t>
  </si>
  <si>
    <t>Number of EMS/Fire Stations</t>
  </si>
  <si>
    <t>Ratio of Police Officers per 1000 Population</t>
  </si>
  <si>
    <t>Annual GF Fire/EMS Budget</t>
  </si>
  <si>
    <t>Ratio of Police Officers per Square Mile</t>
  </si>
  <si>
    <t>Annual GF Police Budget</t>
  </si>
  <si>
    <t>Ratio of Firefighters/ EMS per Square Mile</t>
  </si>
  <si>
    <t>Ratio of Firefighters/ EMS per 1000 Population</t>
  </si>
  <si>
    <t>Notes</t>
  </si>
  <si>
    <t xml:space="preserve">Police and Fire budget #s include amounts in the Public Safety Enhancement Fund and the Fire and Police Neighborhood Protection Fund (collect the revenue from voter approved sales tax). </t>
  </si>
  <si>
    <t>Another 17 officers supported by grant funding.  Police's budget of $292 m includes $2 m from Child Safety Fund (fees on parking tickets, school-zone violations, vehicle registrations) which is used primarily for the school crossing guard program.</t>
  </si>
  <si>
    <t>Fire's budget includes nearly $7 m from the EMS Fund, but not $1.7 m from the Fire &amp; Lifeguard Facilities Fund.  Police's budget includes Unlicensed Driver Vehicle Impound Fees Fund.</t>
  </si>
  <si>
    <t>Of the 1,479 FFs/EMS employees, 308 are civilian EMS personnel.</t>
  </si>
  <si>
    <t>Jacksonville</t>
  </si>
  <si>
    <t>Number of Budgeted Uniformed Fire/EMS Personnel</t>
  </si>
  <si>
    <t># of Budgeted Uniformed Police Personnel</t>
  </si>
  <si>
    <t>Number of Budgeted FT Civilian Police Personnel</t>
  </si>
  <si>
    <t>Personnel #s do not include civilians, officers, FFs funded by non-GF sources (grants, etc.).</t>
  </si>
  <si>
    <t>Firefighters are EMT-B; dept. operates as 1st responder w/patient transport provided by 3rd party contractor.</t>
  </si>
  <si>
    <t>In addition to these personnel #s, there are 225 POs &amp; 48 Police civilian funded by grants, as well as 2 FFs and 1 Fire civilian funded by grants.</t>
  </si>
  <si>
    <t>The firefighter/EMS personnel # includes 302 civilian EMS positions.</t>
  </si>
  <si>
    <t>The firefighter/EMS personnel # includes 177 civilian EMS positions.</t>
  </si>
  <si>
    <t>July 1, 2007 Est. Census Population</t>
  </si>
  <si>
    <t>Nashville-Davidson</t>
  </si>
  <si>
    <t>Jacksonville Police Dept. is under the Office of the Sheriff (which includes Duval Co).  Fire and EMS are combined, with sworn paramedics.</t>
  </si>
  <si>
    <t>Nashville-Davidson is divided into 2 service districts by City Charter:  the General Service District (GSD) and the Urban Service District (USD).  Figures displayed are combined service districts with breakdowns provided in comment boxes.</t>
  </si>
  <si>
    <t>Annual GF Fire Budget per 2007 Population</t>
  </si>
  <si>
    <t>Annual GF Police Budget per 2007 Population</t>
  </si>
  <si>
    <t>Source/Additional Notes</t>
  </si>
  <si>
    <t>In Jan. '07, IPD consolidated w/ law enforcement section of Marion Co. Sheriff and the IFD took over 2 of Marion Co.'s 9 townships; Police civilian # includes 23 school crossing guard and 62 county forensic services agency personnel.</t>
  </si>
  <si>
    <t>Fire budget &amp; personnel #s include an Office of the Medical Director (8 civilians) under Emergency Medical Services (which provides medical oversight to the division)</t>
  </si>
  <si>
    <t>The Police Dept. is the Charlotte-Mecklenburg PD with jurisdiction covering 450 sq.mi.; Fire Dept. acts as 1st responders to EMS emergencies, but the Co. provides EMS services</t>
  </si>
  <si>
    <t>In addition to the Police personnel #s provided, Baltimore employs 145 officers and 55 civilians funded by non-GF; 51 of these 55 Police civilian are funded by a special revenue fund for 911 ops through a telephone tax.</t>
  </si>
  <si>
    <t>In addition to the FF &amp; civilian #s provided, El Paso has 31 airport &amp; 2 grant funded FFs and 1 airport &amp; 1.5 grant funded civilian personnel; recently, Fire began training FFs to be EMT-P certified.</t>
  </si>
  <si>
    <t>Data indicates that EMS personnel (approx. 3,107) are not trained firefighters.</t>
  </si>
  <si>
    <t xml:space="preserve">Based on Comptroller's Comments on the Adopted Budget for FY2008...; NYFD webpage; 2008 (July 1, 2007-June 30, 2008) Adopted Budget.  </t>
  </si>
  <si>
    <t>Based on 2007-2008 (July 1, 2007-June 30, 2008) Adopted Budget; LAFD webpage</t>
  </si>
  <si>
    <t>Based on 2008 (Jan. 1 - Dec. 31, 2008) Recommended Budget; Phone calls</t>
  </si>
  <si>
    <t>Based on 2008 (July 1, 2007-June 30, 2008) Adopted Budget; Fire webpage</t>
  </si>
  <si>
    <t>Based on 2007-2008 (July 1, 2007-June 30, 2008) Operating Budget</t>
  </si>
  <si>
    <t>Based on 2008 (October 1, 2007-Sept. 30, 2008) Adopted budget</t>
  </si>
  <si>
    <t>Based on 2008 (July 1, 2007-June 30, 2008) Adopted Budget; SDFD webpage;</t>
  </si>
  <si>
    <t>Based on 2007-2008 (Oct. 1, 2007-Sept. 30, 2008) Adopted Budget</t>
  </si>
  <si>
    <t>Based on 2007-2008 (July 1, 2007-June 30, 2008) Adopted Budget</t>
  </si>
  <si>
    <t>Based on 2007-2008 (July 1, 2007-June 30, 2008) Proposed Budget</t>
  </si>
  <si>
    <t>Based on 2007-2008 (July 1, 2007-June 30, 2008) Consolidated Budget; 2007-2008 Annual Salary Ordinance</t>
  </si>
  <si>
    <t>Based on 2008 (Jan. 1-Dec. 31, 2008) Adopted Budget</t>
  </si>
  <si>
    <t>Based on 2008 (Jan. 1-Dec. 31, 2008) Proposed Budget; Fire webpage</t>
  </si>
  <si>
    <t>Based on 2007-2008 (Jan 1, 2007-Dec. 31, 2008) Approved Biennial Budget; Fire webpage</t>
  </si>
  <si>
    <t>Based on 2008 (Jan 1 - Dec. 31, 2008) Proposed Budget</t>
  </si>
  <si>
    <t>Based on 2008 (Jan 1 - Dec. 31, 2008) Adopted Budget; Seattle Fire website; emails to Finance</t>
  </si>
  <si>
    <t>Based on 2008 Adopted (Summary &amp; Detail) Budget (Jan. 1-Dec. 31, 2008); Fire website</t>
  </si>
  <si>
    <t>Based on 2008 (Sept. 1, 2007-Aug. 31, 2008) Adopted Budget</t>
  </si>
  <si>
    <t>Based on 2009 Proposed Budget (adopted June 2008; July 1, 2008-June 30, 2009); phone calls; Mecklenburg Co MEDIC website</t>
  </si>
  <si>
    <t>Based on 2008 (July 1, 2007-June 30, 2008) Adopted Budget</t>
  </si>
  <si>
    <t>Based on 2007-2008 (Oct. 1, 2007-Sept. 30, 2008) Approved Budget</t>
  </si>
  <si>
    <t>Based on 2008 (July 1, 2007-June 30, 2008) Adopted Budget; Boston Fire website</t>
  </si>
  <si>
    <t>Boston's EMS program is staffed by 351 civilian personnel in the Health Dept.; Fire uniformed # includes these 351; Fire budget $ includes Health's EMS budget.</t>
  </si>
  <si>
    <t>Based on Nashville/Davidson County 2007-2008 (Jul 1, 2007-June 30, 2008) Operating Budget.  The Davidson County Sheriff's Office (DCSO) and the Nashville PD are separate entities, but DCSO has no law-enforcement responsibilities.  The DCSO operates in corrections and civil processes only, and therefore is not comparable to City of Columbus Police.  The DCSO staffing and budget numbers are not included.  There are an additional 7 police officers funded by grant or special revenue funds (these were not included).</t>
  </si>
  <si>
    <t>POLICE</t>
  </si>
  <si>
    <t>Based on 2007-2008 (Oct. 1, 2007-Sept. 30, 2008) Annual Budget; FD webpage; other City web pages</t>
  </si>
  <si>
    <r>
      <t xml:space="preserve">Based on 2008 Adopted Budget (Jan 1-Dec. 31, 2008) and phone call to Budget Officer 06/23/08.   </t>
    </r>
    <r>
      <rPr>
        <sz val="9"/>
        <rFont val="Arial"/>
        <family val="2"/>
      </rPr>
      <t>Fire EMS includes services to the 2 consolidated townships--rest of city, Fire responds to emergencies &amp; calls hospitals for transport; Budgeted amts. include Police/Fire Pension Trust Funds (in 1977, administration of pensions shifted to the state of Indiana--these funds include both pension payments for personnel hired before 1977 &amp; current payments. to the state pension board).</t>
    </r>
  </si>
  <si>
    <t>Police and Fire budgets and personnel numbers include personnel assigned to both airports and their corresponding funds (Midway Airport and Chicago-O'Hare International Revenue Funds).</t>
  </si>
  <si>
    <t xml:space="preserve">Fringe benefits for both Police and Fire personnel (as well as all GF employees) are budgeted in Finance.  Approx. amts. supplied by Philly budget office were added to each budget. </t>
  </si>
  <si>
    <t>Based on 2008 (July 1, 2007-June 30, 2008) Adopted Operating Budget; Fire Dept. webpage; phone calls to Finance</t>
  </si>
  <si>
    <t>Based on 2007-2008 (Oct. 1, 2007-Sept. 30, 2008) Adopted Budget; phone calls to Dallas</t>
  </si>
  <si>
    <t>City of Dallas does not offer a pension pick up benefit for any of its employees; insurance rate is $3,654 per employee per year (2008 Columbus Fire is 12,205 and Police is 11,803 for 2008)</t>
  </si>
  <si>
    <t>FIRE/EMS</t>
  </si>
  <si>
    <t>Number of Budgeted FT Civilian Fire/EMS Personnel</t>
  </si>
  <si>
    <t>Based on 2008 (July 1, 2007-June 30, 2008) Adopted Budget; phone calls.  Budget numbers do not include City's pension liability, as these are budgeted separately (and not readily accessible).  The City's 2008 obligation for Fire pension was 6% (in comparison to Columbus's 24% and 6.5/7% pick up).  Fire benefits do not include sick leave reciprocity, holiday worked pay, or Kelly Days.  Paramedic differential is 2.8% (Columbus is 8%).  Fire Budget includes $10.7 from EMS Special Revenue Fund.</t>
  </si>
  <si>
    <t>Fleet maintenance, health insurance, &amp; mail/printing are not included in Police/Fire's budgets (they are in an internal services fund).</t>
  </si>
  <si>
    <t>Information Comparison In Population Rank Order</t>
  </si>
  <si>
    <t>Fleet maintenance, health insurance, &amp; mail/printing are not included in Fire's budget (they are in an internal services fund).</t>
  </si>
  <si>
    <t>Of the 1,479 FF/EMS employees, 308 are civilian EMS personnel.</t>
  </si>
  <si>
    <t>Based on Nashville/Davidson County 2007-2008 (Jul 1, 2007-June 30, 2008) Operating Budget.</t>
  </si>
  <si>
    <t xml:space="preserve">Fringe benefits for Fire personnel (as well as all GF employees) are budgeted in Finance.  Approx. amts. supplied by Philly budget office were added to each budget. </t>
  </si>
  <si>
    <t>Fire and EMS are combined, with sworn paramedics.</t>
  </si>
  <si>
    <t>Fire budget and personnel numbers include personnel assigned to both airports and their corresponding funds (Midway Airport and Chicago-O'Hare International Revenue Funds).</t>
  </si>
  <si>
    <t xml:space="preserve">Fire budget #s include amounts in the Public Safety Enhancement Fund and the Fire and Police Neighborhood Protection Fund (collect the revenue from voter-approved sales tax). </t>
  </si>
  <si>
    <t>Based on 2008 Adopted Budget (Jan 1-Dec. 31, 2008) and phone call to Budget Officer 06/23/08.   Fire/EMS includes services to the 2 consolidated townships--rest of city, Fire responds to emergencies &amp; calls hospitals for transport; Budgeted amts. include Police/Fire Pension Trust Funds (in 1977, administration of pensions shifted to the state of Indiana--these funds include both pension payments for personnel hired before 1977 &amp; current payments to the state pension board).</t>
  </si>
  <si>
    <t>City of Dallas does not offer a pension pick up benefit for any of its employees; insurance rate is $3,654 per employee per year (2008 Columbus Fire is $12,205 for 2008)</t>
  </si>
  <si>
    <t>In addition to these personnel #s, there are 2 FFs and 1 Fire civilian funded by grants.</t>
  </si>
  <si>
    <t>Fire budget includes nearly $7 m from the EMS Fund, but not $1.7 m from the Fire &amp; Lifeguard Facilities Fund.</t>
  </si>
  <si>
    <t>FFs are EMT-B; dept. operates as 1st responder with patient transport provided by 3rd party contractor.</t>
  </si>
  <si>
    <t>Fire acts as 1st responders to EMS emergencies, but the Co. provides EMS services</t>
  </si>
  <si>
    <t>In addition to the FF &amp; civilian #s provided, El Paso has 31 airport &amp; 2 grant-funded FFs and 1 airport &amp; 1.5 grant funded civilian personnel; recently, Fire began training FFs to be EMT-P certified.</t>
  </si>
  <si>
    <t>Comparison of Top 25 US Cities - Use of Resources by Fire Departments</t>
  </si>
  <si>
    <r>
      <t xml:space="preserve">Annual GF Fire Budget per Resident       </t>
    </r>
    <r>
      <rPr>
        <b/>
        <sz val="8"/>
        <rFont val="Arial"/>
        <family val="2"/>
      </rPr>
      <t>(2007 Census)</t>
    </r>
  </si>
  <si>
    <r>
      <t xml:space="preserve">Pop. Rank </t>
    </r>
    <r>
      <rPr>
        <b/>
        <sz val="6"/>
        <rFont val="Arial"/>
        <family val="2"/>
      </rPr>
      <t>(2007 Census)</t>
    </r>
  </si>
  <si>
    <t>Comparison of Top 25 US Cities - Use of Resources by Police Departments</t>
  </si>
  <si>
    <r>
      <t xml:space="preserve">Annual GF Police Budget per Resident </t>
    </r>
    <r>
      <rPr>
        <b/>
        <sz val="8"/>
        <rFont val="Arial"/>
        <family val="2"/>
      </rPr>
      <t>(2007 Census)</t>
    </r>
  </si>
  <si>
    <t>Number of Fire/EMS Stations</t>
  </si>
  <si>
    <t>Police budgets and personnel numbers include personnel assigned to both airports and their corresponding funds (Midway Airport and Chicago-O'Hare International Revenue Funds).</t>
  </si>
  <si>
    <t xml:space="preserve">Police budget #s include amounts in the Public Safety Enhancement Fund and the Fire and Police Neighborhood Protection Fund (collect the revenue from voter-approved sales tax). </t>
  </si>
  <si>
    <t xml:space="preserve">Fringe benefits for Police personnel (as well as all GF employees) are budgeted in Finance.  Approx. amts. supplied by Philly budget office were added to each budget. </t>
  </si>
  <si>
    <t>Based on 2008 (July 1, 2007-June 30, 2008) Adopted Operating Budget; phone calls to Finance</t>
  </si>
  <si>
    <t>In addition to the Police personnel #s provided, Baltimore employs 145 officers and 55 civilians funded by non-GF; 51 of these 55 Police civilians are funded by a special revenue fund for 911 ops through a telephone tax.</t>
  </si>
  <si>
    <t>Based on 2008 (July 1, 2007-June 30, 2008) Adopted Budget; phone calls.  Budget numbers do not include City's pension liability, as these are budgeted separately (and not readily accessible).</t>
  </si>
  <si>
    <t>Personnel #s do not include civilians or officers funded by non-GF sources (grants, etc.).</t>
  </si>
  <si>
    <t xml:space="preserve">Based on Comptroller's Comments on the Adopted Budget for FY2008...; 2008 (July 1, 2007-June 30, 2008) Adopted Budget.  </t>
  </si>
  <si>
    <t>Jacksonville Police Dept. is under the Office of the Sheriff (which includes Duval Co).</t>
  </si>
  <si>
    <t>Based on 2007-2008 (Oct. 1, 2007-Sept. 30, 2008) Annual Budget; other City web pages</t>
  </si>
  <si>
    <t>Based on 2008 (Jan 1 - Dec. 31, 2008) Adopted Budget; e-mail to Finance</t>
  </si>
  <si>
    <t>In addition to these personnel #s, there are 225 POs &amp; 48 Police civilians funded by grants.</t>
  </si>
  <si>
    <t>Based on 2008 Adopted (Summary &amp; Detail) Budget (Jan. 1-Dec. 31, 2008)</t>
  </si>
  <si>
    <t>City of Dallas does not offer a pension pick up benefit for any of its employees; insurance rate is $3,654 per employee per year (Columbus Police is $11,803 for 2008)</t>
  </si>
  <si>
    <t>Police's budget includes Unlicensed Driver Vehicle Impound Fees Fund.</t>
  </si>
  <si>
    <t>Fleet maintenance, health insurance, &amp; mail/printing are not included in Police budget (they are in an internal services fund).</t>
  </si>
  <si>
    <t>The Police Dept. is the Charlotte-Mecklenburg PD with jurisdiction covering 450 sq.mi.</t>
  </si>
  <si>
    <t>Based on 2009 Proposed Budget (adopted June 2008; July 1, 2008-June 30, 2009); phone calls</t>
  </si>
  <si>
    <t>In Jan. '07, IPD consolidated with law enforcement section of Marion Co. Sheriff and the IFD took over 2 of Marion Co.'s 9 townships; Police civilian # includes 23 school crossing guard and 62 county forensic services agency personnel.</t>
  </si>
  <si>
    <t>Based on 2008 Adopted Budget (Jan 1-Dec. 31, 2008) and phone call to Budget Officer 06/23/08. Budgeted amts. include Police/Fire Pension Trust Funds (in 1977, administration of pensions shifted to the state of Indiana--these funds include both pension payments for personnel hired before 1977 &amp; current payments to the state pension board).</t>
  </si>
  <si>
    <t>Number of Budgeted Uniformed Police Personnel</t>
  </si>
  <si>
    <t>Ratio of    Fire/EMS Personnel  per 1000 Population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</si>
</sst>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 numFmtId="170" formatCode="_(* #,##0.00000_);_(* \(#,##0.00000\);_(* &quot;-&quot;??_);_(@_)"/>
    <numFmt numFmtId="171" formatCode="_(* #,##0.000000_);_(* \(#,##0.000000\);_(* &quot;-&quot;??_);_(@_)"/>
    <numFmt numFmtId="172" formatCode="_(* #,##0.0000000_);_(* \(#,##0.0000000\);_(* &quot;-&quot;??_);_(@_)"/>
    <numFmt numFmtId="173" formatCode="0.0"/>
    <numFmt numFmtId="174" formatCode="_(* #,##0.0_);_(* \(#,##0.0\);_(* &quot;-&quot;?_);_(@_)"/>
    <numFmt numFmtId="175" formatCode="&quot;$&quot;#,##0"/>
    <numFmt numFmtId="176" formatCode="&quot;$&quot;#,##0.00"/>
  </numFmts>
  <fonts count="30">
    <font>
      <sz val="10"/>
      <name val="Arial"/>
      <family val="0"/>
    </font>
    <font>
      <b/>
      <sz val="10"/>
      <name val="Arial"/>
      <family val="2"/>
    </font>
    <font>
      <u val="single"/>
      <sz val="10"/>
      <color indexed="12"/>
      <name val="Arial"/>
      <family val="0"/>
    </font>
    <font>
      <u val="single"/>
      <sz val="10"/>
      <color indexed="36"/>
      <name val="Arial"/>
      <family val="0"/>
    </font>
    <font>
      <i/>
      <sz val="8"/>
      <name val="Arial"/>
      <family val="2"/>
    </font>
    <font>
      <sz val="8"/>
      <name val="Tahoma"/>
      <family val="2"/>
    </font>
    <font>
      <sz val="8"/>
      <name val="Arial"/>
      <family val="0"/>
    </font>
    <font>
      <sz val="9"/>
      <name val="Arial"/>
      <family val="2"/>
    </font>
    <font>
      <b/>
      <sz val="8"/>
      <name val="Tahoma"/>
      <family val="0"/>
    </font>
    <font>
      <sz val="6"/>
      <name val="Arial"/>
      <family val="0"/>
    </font>
    <font>
      <b/>
      <sz val="8"/>
      <name val="Arial"/>
      <family val="2"/>
    </font>
    <font>
      <b/>
      <sz val="14"/>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medium"/>
      <right style="medium"/>
      <top style="medium"/>
      <bottom style="medium"/>
    </border>
    <border>
      <left style="thin"/>
      <right style="thin"/>
      <top style="thin"/>
      <bottom style="thin"/>
    </border>
    <border>
      <left style="thin"/>
      <right>
        <color indexed="63"/>
      </right>
      <top style="medium"/>
      <bottom style="medium"/>
    </border>
    <border>
      <left style="thick"/>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thin"/>
    </border>
    <border>
      <left style="thick"/>
      <right style="thin"/>
      <top style="thin"/>
      <bottom style="thin"/>
    </border>
    <border>
      <left style="thin"/>
      <right style="thick"/>
      <top style="thin"/>
      <bottom style="thin"/>
    </border>
    <border>
      <left style="thin"/>
      <right style="medium"/>
      <top style="medium"/>
      <bottom style="thin"/>
    </border>
    <border>
      <left style="thin"/>
      <right style="medium"/>
      <top style="thin"/>
      <bottom style="thin"/>
    </border>
    <border>
      <left style="thick"/>
      <right style="thin"/>
      <top style="medium"/>
      <bottom style="thin"/>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style="thin"/>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color indexed="63"/>
      </right>
      <top>
        <color indexed="63"/>
      </top>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6">
    <xf numFmtId="0" fontId="0" fillId="0" borderId="0" xfId="0" applyAlignment="1">
      <alignment/>
    </xf>
    <xf numFmtId="0" fontId="0" fillId="0" borderId="0" xfId="0" applyFill="1" applyAlignment="1">
      <alignment/>
    </xf>
    <xf numFmtId="0" fontId="1" fillId="0" borderId="0" xfId="0" applyFont="1" applyAlignment="1">
      <alignment/>
    </xf>
    <xf numFmtId="0" fontId="0" fillId="24" borderId="0" xfId="0" applyFill="1" applyAlignment="1">
      <alignment/>
    </xf>
    <xf numFmtId="0" fontId="4" fillId="0" borderId="0" xfId="0" applyFont="1" applyAlignment="1">
      <alignment/>
    </xf>
    <xf numFmtId="0" fontId="0" fillId="0" borderId="0" xfId="0" applyFill="1" applyBorder="1" applyAlignment="1">
      <alignment horizontal="center"/>
    </xf>
    <xf numFmtId="0" fontId="0" fillId="0" borderId="0" xfId="0" applyBorder="1" applyAlignment="1">
      <alignment horizontal="center"/>
    </xf>
    <xf numFmtId="0" fontId="0" fillId="24" borderId="10" xfId="0" applyFill="1" applyBorder="1" applyAlignment="1">
      <alignment horizontal="center"/>
    </xf>
    <xf numFmtId="0" fontId="0" fillId="24" borderId="0" xfId="0" applyFill="1" applyBorder="1" applyAlignment="1">
      <alignment horizontal="center"/>
    </xf>
    <xf numFmtId="0" fontId="1" fillId="4" borderId="11" xfId="0" applyFont="1" applyFill="1" applyBorder="1" applyAlignment="1">
      <alignment horizontal="center" vertical="center" wrapText="1"/>
    </xf>
    <xf numFmtId="43" fontId="0" fillId="0" borderId="12" xfId="42" applyNumberFormat="1" applyFont="1" applyFill="1" applyBorder="1" applyAlignment="1">
      <alignment/>
    </xf>
    <xf numFmtId="0" fontId="0" fillId="0" borderId="12" xfId="0" applyFill="1" applyBorder="1" applyAlignment="1">
      <alignment/>
    </xf>
    <xf numFmtId="165" fontId="0" fillId="0" borderId="12" xfId="42" applyNumberFormat="1" applyFont="1" applyFill="1" applyBorder="1" applyAlignment="1">
      <alignment/>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0" fillId="0" borderId="0" xfId="0" applyFill="1" applyBorder="1" applyAlignment="1">
      <alignment horizontal="left"/>
    </xf>
    <xf numFmtId="43" fontId="6" fillId="0" borderId="12" xfId="42" applyNumberFormat="1" applyFont="1" applyFill="1" applyBorder="1" applyAlignment="1">
      <alignment horizontal="left" wrapText="1"/>
    </xf>
    <xf numFmtId="0" fontId="6" fillId="0" borderId="0" xfId="0" applyFont="1" applyFill="1" applyAlignment="1">
      <alignment wrapText="1"/>
    </xf>
    <xf numFmtId="43" fontId="0" fillId="0" borderId="0" xfId="42" applyNumberFormat="1" applyFont="1" applyFill="1" applyBorder="1" applyAlignment="1">
      <alignment/>
    </xf>
    <xf numFmtId="0" fontId="1" fillId="0" borderId="17" xfId="0" applyFont="1" applyFill="1" applyBorder="1" applyAlignment="1">
      <alignment horizontal="center"/>
    </xf>
    <xf numFmtId="0" fontId="0" fillId="0" borderId="17" xfId="0" applyFill="1" applyBorder="1" applyAlignment="1">
      <alignment/>
    </xf>
    <xf numFmtId="0" fontId="1" fillId="0" borderId="17" xfId="0" applyFont="1" applyFill="1" applyBorder="1" applyAlignment="1">
      <alignment horizontal="left"/>
    </xf>
    <xf numFmtId="165" fontId="0" fillId="0" borderId="17" xfId="42" applyNumberFormat="1" applyFont="1" applyFill="1" applyBorder="1" applyAlignment="1">
      <alignment/>
    </xf>
    <xf numFmtId="43" fontId="0" fillId="0" borderId="17" xfId="42" applyNumberFormat="1" applyFont="1" applyFill="1" applyBorder="1" applyAlignment="1">
      <alignment/>
    </xf>
    <xf numFmtId="168" fontId="0" fillId="0" borderId="17" xfId="42" applyNumberFormat="1" applyFont="1" applyFill="1" applyBorder="1" applyAlignment="1">
      <alignment/>
    </xf>
    <xf numFmtId="44" fontId="0" fillId="0" borderId="17" xfId="44" applyNumberFormat="1" applyFont="1" applyFill="1" applyBorder="1" applyAlignment="1">
      <alignment/>
    </xf>
    <xf numFmtId="0" fontId="0" fillId="0" borderId="17" xfId="0" applyFill="1" applyBorder="1" applyAlignment="1">
      <alignment horizontal="left" wrapText="1"/>
    </xf>
    <xf numFmtId="0" fontId="1" fillId="0" borderId="12" xfId="0" applyFont="1" applyFill="1" applyBorder="1" applyAlignment="1">
      <alignment horizontal="center"/>
    </xf>
    <xf numFmtId="0" fontId="1" fillId="0" borderId="12" xfId="0" applyFont="1" applyFill="1" applyBorder="1" applyAlignment="1">
      <alignment horizontal="left"/>
    </xf>
    <xf numFmtId="0" fontId="0" fillId="0" borderId="18" xfId="0" applyFill="1" applyBorder="1" applyAlignment="1">
      <alignment/>
    </xf>
    <xf numFmtId="168" fontId="0" fillId="0" borderId="12" xfId="42" applyNumberFormat="1" applyFont="1" applyFill="1" applyBorder="1" applyAlignment="1">
      <alignment/>
    </xf>
    <xf numFmtId="165" fontId="0" fillId="0" borderId="19" xfId="42" applyNumberFormat="1" applyFont="1" applyFill="1" applyBorder="1" applyAlignment="1">
      <alignment/>
    </xf>
    <xf numFmtId="1" fontId="0" fillId="0" borderId="18" xfId="0" applyNumberFormat="1" applyFill="1" applyBorder="1" applyAlignment="1">
      <alignment/>
    </xf>
    <xf numFmtId="0" fontId="1" fillId="0" borderId="12" xfId="0" applyFont="1" applyFill="1" applyBorder="1" applyAlignment="1">
      <alignment horizontal="left" wrapText="1"/>
    </xf>
    <xf numFmtId="0" fontId="0" fillId="0" borderId="12" xfId="0" applyFill="1" applyBorder="1" applyAlignment="1">
      <alignment wrapText="1"/>
    </xf>
    <xf numFmtId="0" fontId="6" fillId="0" borderId="12" xfId="0" applyFont="1" applyFill="1" applyBorder="1" applyAlignment="1">
      <alignment wrapText="1"/>
    </xf>
    <xf numFmtId="0" fontId="7" fillId="0" borderId="12" xfId="0" applyFont="1" applyFill="1" applyBorder="1" applyAlignment="1">
      <alignment wrapText="1"/>
    </xf>
    <xf numFmtId="0" fontId="0" fillId="0" borderId="12" xfId="0" applyFont="1" applyFill="1" applyBorder="1" applyAlignment="1">
      <alignment wrapText="1"/>
    </xf>
    <xf numFmtId="6" fontId="0" fillId="0" borderId="0" xfId="0" applyNumberFormat="1" applyAlignment="1">
      <alignment/>
    </xf>
    <xf numFmtId="6" fontId="0" fillId="0" borderId="0" xfId="0" applyNumberFormat="1" applyFill="1" applyAlignment="1">
      <alignment/>
    </xf>
    <xf numFmtId="0" fontId="9" fillId="0" borderId="0" xfId="0" applyFont="1" applyAlignment="1">
      <alignment/>
    </xf>
    <xf numFmtId="175" fontId="0" fillId="0" borderId="17" xfId="44" applyNumberFormat="1" applyFont="1" applyFill="1" applyBorder="1" applyAlignment="1">
      <alignment/>
    </xf>
    <xf numFmtId="175" fontId="0" fillId="0" borderId="12" xfId="42" applyNumberFormat="1" applyFont="1" applyFill="1" applyBorder="1" applyAlignment="1">
      <alignment/>
    </xf>
    <xf numFmtId="176" fontId="0" fillId="0" borderId="12" xfId="42" applyNumberFormat="1" applyFont="1" applyFill="1" applyBorder="1" applyAlignment="1">
      <alignment/>
    </xf>
    <xf numFmtId="176" fontId="0" fillId="0" borderId="17" xfId="44" applyNumberFormat="1" applyFont="1" applyFill="1" applyBorder="1" applyAlignment="1">
      <alignment horizontal="right"/>
    </xf>
    <xf numFmtId="176" fontId="0" fillId="0" borderId="17" xfId="44" applyNumberFormat="1" applyFont="1" applyFill="1" applyBorder="1" applyAlignment="1">
      <alignment/>
    </xf>
    <xf numFmtId="165" fontId="0" fillId="0" borderId="20" xfId="42" applyNumberFormat="1" applyFont="1" applyFill="1" applyBorder="1" applyAlignment="1">
      <alignment/>
    </xf>
    <xf numFmtId="165" fontId="0" fillId="0" borderId="21" xfId="42" applyNumberFormat="1" applyFont="1" applyFill="1" applyBorder="1" applyAlignment="1">
      <alignment/>
    </xf>
    <xf numFmtId="0" fontId="0" fillId="0" borderId="22" xfId="0" applyFill="1" applyBorder="1" applyAlignment="1">
      <alignment/>
    </xf>
    <xf numFmtId="167" fontId="0" fillId="0" borderId="0" xfId="44" applyNumberFormat="1" applyFont="1" applyAlignment="1">
      <alignment/>
    </xf>
    <xf numFmtId="43" fontId="0" fillId="0" borderId="12" xfId="42" applyNumberFormat="1" applyFont="1" applyFill="1" applyBorder="1" applyAlignment="1">
      <alignment wrapText="1"/>
    </xf>
    <xf numFmtId="0" fontId="1" fillId="0" borderId="11" xfId="0" applyFont="1" applyFill="1" applyBorder="1" applyAlignment="1">
      <alignment horizontal="center" vertical="center" wrapText="1"/>
    </xf>
    <xf numFmtId="43" fontId="6" fillId="0" borderId="12" xfId="42" applyNumberFormat="1" applyFont="1" applyFill="1" applyBorder="1" applyAlignment="1">
      <alignment wrapText="1"/>
    </xf>
    <xf numFmtId="43" fontId="6" fillId="0" borderId="0" xfId="42" applyNumberFormat="1" applyFont="1" applyFill="1" applyBorder="1" applyAlignment="1">
      <alignment horizontal="left" wrapText="1"/>
    </xf>
    <xf numFmtId="0" fontId="0" fillId="0" borderId="0" xfId="0" applyAlignment="1">
      <alignment wrapText="1"/>
    </xf>
    <xf numFmtId="0" fontId="0" fillId="0" borderId="17" xfId="0" applyFill="1" applyBorder="1" applyAlignment="1">
      <alignment wrapText="1"/>
    </xf>
    <xf numFmtId="165" fontId="0" fillId="0" borderId="17" xfId="42" applyNumberFormat="1" applyFont="1" applyFill="1" applyBorder="1" applyAlignment="1">
      <alignment wrapText="1"/>
    </xf>
    <xf numFmtId="43" fontId="0" fillId="0" borderId="17" xfId="42" applyNumberFormat="1" applyFont="1" applyFill="1" applyBorder="1" applyAlignment="1">
      <alignment wrapText="1"/>
    </xf>
    <xf numFmtId="168" fontId="0" fillId="0" borderId="17" xfId="42" applyNumberFormat="1" applyFont="1" applyFill="1" applyBorder="1" applyAlignment="1">
      <alignment wrapText="1"/>
    </xf>
    <xf numFmtId="175" fontId="0" fillId="0" borderId="17" xfId="42" applyNumberFormat="1" applyFont="1" applyFill="1" applyBorder="1" applyAlignment="1">
      <alignment wrapText="1"/>
    </xf>
    <xf numFmtId="176" fontId="0" fillId="0" borderId="12" xfId="42" applyNumberFormat="1" applyFont="1" applyFill="1" applyBorder="1" applyAlignment="1">
      <alignment wrapText="1"/>
    </xf>
    <xf numFmtId="165" fontId="0" fillId="0" borderId="12" xfId="42" applyNumberFormat="1" applyFont="1" applyFill="1" applyBorder="1" applyAlignment="1">
      <alignment wrapText="1"/>
    </xf>
    <xf numFmtId="43" fontId="0" fillId="0" borderId="12" xfId="42" applyNumberFormat="1" applyFont="1" applyFill="1" applyBorder="1" applyAlignment="1">
      <alignment wrapText="1"/>
    </xf>
    <xf numFmtId="168" fontId="0" fillId="0" borderId="12" xfId="42" applyNumberFormat="1" applyFont="1" applyFill="1" applyBorder="1" applyAlignment="1">
      <alignment wrapText="1"/>
    </xf>
    <xf numFmtId="175" fontId="0" fillId="0" borderId="12" xfId="42" applyNumberFormat="1" applyFont="1" applyFill="1" applyBorder="1" applyAlignment="1">
      <alignment wrapText="1"/>
    </xf>
    <xf numFmtId="175" fontId="0" fillId="0" borderId="12" xfId="44" applyNumberFormat="1" applyFont="1" applyFill="1" applyBorder="1" applyAlignment="1">
      <alignment wrapText="1"/>
    </xf>
    <xf numFmtId="43" fontId="6" fillId="0" borderId="0" xfId="42" applyNumberFormat="1" applyFont="1" applyFill="1" applyBorder="1" applyAlignment="1">
      <alignment wrapText="1"/>
    </xf>
    <xf numFmtId="0" fontId="0" fillId="0" borderId="17" xfId="0" applyFont="1" applyFill="1" applyBorder="1" applyAlignment="1">
      <alignment horizontal="center" wrapText="1"/>
    </xf>
    <xf numFmtId="0" fontId="0" fillId="0" borderId="12" xfId="0" applyFont="1" applyFill="1" applyBorder="1" applyAlignment="1">
      <alignment horizontal="center" wrapText="1"/>
    </xf>
    <xf numFmtId="0" fontId="1" fillId="4" borderId="23" xfId="0" applyFont="1" applyFill="1" applyBorder="1" applyAlignment="1">
      <alignment horizontal="center" vertical="center" wrapText="1"/>
    </xf>
    <xf numFmtId="0" fontId="1" fillId="0" borderId="24" xfId="0" applyFont="1" applyFill="1" applyBorder="1" applyAlignment="1">
      <alignment horizontal="left" wrapText="1"/>
    </xf>
    <xf numFmtId="0" fontId="6" fillId="0" borderId="25" xfId="0" applyFont="1" applyFill="1" applyBorder="1" applyAlignment="1">
      <alignment wrapText="1"/>
    </xf>
    <xf numFmtId="0" fontId="1" fillId="0" borderId="26" xfId="0" applyFont="1" applyFill="1" applyBorder="1" applyAlignment="1">
      <alignment horizontal="left" wrapText="1"/>
    </xf>
    <xf numFmtId="0" fontId="6" fillId="0" borderId="21" xfId="0" applyFont="1" applyFill="1" applyBorder="1" applyAlignment="1">
      <alignment wrapText="1"/>
    </xf>
    <xf numFmtId="0" fontId="6" fillId="0" borderId="21" xfId="0" applyFont="1" applyFill="1" applyBorder="1" applyAlignment="1">
      <alignment horizontal="left" wrapText="1"/>
    </xf>
    <xf numFmtId="0" fontId="0" fillId="0" borderId="27" xfId="0" applyFill="1" applyBorder="1" applyAlignment="1">
      <alignment wrapText="1"/>
    </xf>
    <xf numFmtId="176" fontId="0" fillId="0" borderId="27" xfId="42" applyNumberFormat="1" applyFont="1" applyFill="1" applyBorder="1" applyAlignment="1">
      <alignment wrapText="1"/>
    </xf>
    <xf numFmtId="0" fontId="0" fillId="0" borderId="27" xfId="0" applyFont="1" applyFill="1" applyBorder="1" applyAlignment="1">
      <alignment horizontal="center" wrapText="1"/>
    </xf>
    <xf numFmtId="165" fontId="0" fillId="0" borderId="27" xfId="42" applyNumberFormat="1" applyFont="1" applyFill="1" applyBorder="1" applyAlignment="1">
      <alignment wrapText="1"/>
    </xf>
    <xf numFmtId="43" fontId="0" fillId="0" borderId="27" xfId="42" applyNumberFormat="1" applyFont="1" applyFill="1" applyBorder="1" applyAlignment="1">
      <alignment wrapText="1"/>
    </xf>
    <xf numFmtId="168" fontId="0" fillId="0" borderId="27" xfId="42" applyNumberFormat="1" applyFont="1" applyFill="1" applyBorder="1" applyAlignment="1">
      <alignment wrapText="1"/>
    </xf>
    <xf numFmtId="175" fontId="0" fillId="0" borderId="27" xfId="42" applyNumberFormat="1" applyFont="1" applyFill="1" applyBorder="1" applyAlignment="1">
      <alignment wrapText="1"/>
    </xf>
    <xf numFmtId="43" fontId="6" fillId="0" borderId="27" xfId="42" applyNumberFormat="1" applyFont="1" applyFill="1" applyBorder="1" applyAlignment="1">
      <alignment horizontal="left" wrapText="1"/>
    </xf>
    <xf numFmtId="0" fontId="6" fillId="0" borderId="28" xfId="0" applyFont="1" applyFill="1" applyBorder="1" applyAlignment="1">
      <alignment wrapText="1"/>
    </xf>
    <xf numFmtId="1" fontId="0" fillId="0" borderId="12" xfId="0" applyNumberFormat="1" applyFill="1" applyBorder="1" applyAlignment="1">
      <alignment wrapText="1"/>
    </xf>
    <xf numFmtId="1" fontId="0" fillId="0" borderId="17" xfId="0" applyNumberFormat="1" applyFill="1" applyBorder="1" applyAlignment="1">
      <alignment wrapText="1"/>
    </xf>
    <xf numFmtId="0" fontId="0" fillId="0" borderId="29" xfId="0" applyFill="1" applyBorder="1" applyAlignment="1">
      <alignment wrapText="1"/>
    </xf>
    <xf numFmtId="0" fontId="0" fillId="0" borderId="30" xfId="0" applyFill="1" applyBorder="1" applyAlignment="1">
      <alignment wrapText="1"/>
    </xf>
    <xf numFmtId="176" fontId="0" fillId="0" borderId="26" xfId="42" applyNumberFormat="1" applyFont="1" applyFill="1" applyBorder="1" applyAlignment="1">
      <alignment wrapText="1"/>
    </xf>
    <xf numFmtId="0" fontId="0" fillId="0" borderId="31" xfId="0" applyFill="1" applyBorder="1" applyAlignment="1">
      <alignment wrapText="1"/>
    </xf>
    <xf numFmtId="0" fontId="1" fillId="0" borderId="32" xfId="0" applyFont="1" applyFill="1" applyBorder="1" applyAlignment="1">
      <alignment horizontal="left" wrapText="1"/>
    </xf>
    <xf numFmtId="176" fontId="0" fillId="0" borderId="26" xfId="44" applyNumberFormat="1" applyFont="1" applyFill="1" applyBorder="1" applyAlignment="1">
      <alignment horizontal="right" wrapText="1"/>
    </xf>
    <xf numFmtId="0" fontId="0" fillId="0" borderId="33" xfId="0" applyFill="1" applyBorder="1" applyAlignment="1">
      <alignment wrapText="1"/>
    </xf>
    <xf numFmtId="0" fontId="1" fillId="0" borderId="34" xfId="0" applyFont="1" applyFill="1" applyBorder="1" applyAlignment="1">
      <alignment horizontal="left" wrapText="1"/>
    </xf>
    <xf numFmtId="176" fontId="0" fillId="0" borderId="24" xfId="42" applyNumberFormat="1" applyFont="1" applyFill="1" applyBorder="1" applyAlignment="1">
      <alignment wrapText="1"/>
    </xf>
    <xf numFmtId="0" fontId="0" fillId="0" borderId="0" xfId="0" applyBorder="1" applyAlignment="1">
      <alignment wrapText="1"/>
    </xf>
    <xf numFmtId="1" fontId="0" fillId="0" borderId="27" xfId="0" applyNumberFormat="1" applyFill="1" applyBorder="1" applyAlignment="1">
      <alignment wrapText="1"/>
    </xf>
    <xf numFmtId="0" fontId="11" fillId="0" borderId="15" xfId="0" applyFont="1" applyFill="1" applyBorder="1" applyAlignment="1">
      <alignment vertical="center" wrapText="1"/>
    </xf>
    <xf numFmtId="43" fontId="6" fillId="0" borderId="12" xfId="42" applyNumberFormat="1" applyFont="1" applyFill="1" applyBorder="1" applyAlignment="1">
      <alignment horizontal="left" wrapText="1"/>
    </xf>
    <xf numFmtId="43" fontId="6" fillId="0" borderId="12" xfId="42" applyNumberFormat="1" applyFont="1" applyFill="1" applyBorder="1" applyAlignment="1">
      <alignment wrapText="1"/>
    </xf>
    <xf numFmtId="0" fontId="6" fillId="0" borderId="12" xfId="0" applyFont="1" applyFill="1" applyBorder="1" applyAlignment="1">
      <alignment wrapText="1"/>
    </xf>
    <xf numFmtId="0" fontId="0" fillId="0" borderId="12" xfId="0" applyBorder="1" applyAlignment="1">
      <alignment wrapText="1"/>
    </xf>
    <xf numFmtId="0" fontId="6" fillId="0" borderId="21" xfId="0" applyFont="1" applyFill="1" applyBorder="1" applyAlignment="1">
      <alignment horizontal="left" wrapText="1"/>
    </xf>
    <xf numFmtId="0" fontId="6" fillId="0" borderId="21" xfId="0" applyFont="1" applyFill="1" applyBorder="1" applyAlignment="1">
      <alignment wrapText="1"/>
    </xf>
    <xf numFmtId="43" fontId="6" fillId="0" borderId="27" xfId="42" applyNumberFormat="1" applyFont="1" applyFill="1" applyBorder="1" applyAlignment="1">
      <alignment horizontal="left" wrapText="1"/>
    </xf>
    <xf numFmtId="0" fontId="6" fillId="0" borderId="28" xfId="0" applyFont="1" applyFill="1" applyBorder="1" applyAlignment="1">
      <alignment horizontal="left" wrapText="1"/>
    </xf>
    <xf numFmtId="43" fontId="6" fillId="0" borderId="17" xfId="42" applyNumberFormat="1" applyFont="1" applyFill="1" applyBorder="1" applyAlignment="1">
      <alignment wrapText="1"/>
    </xf>
    <xf numFmtId="0" fontId="6" fillId="0" borderId="25" xfId="0" applyFont="1" applyFill="1" applyBorder="1" applyAlignment="1">
      <alignment horizontal="left" wrapText="1"/>
    </xf>
    <xf numFmtId="0" fontId="1" fillId="4" borderId="35" xfId="0" applyFont="1" applyFill="1" applyBorder="1" applyAlignment="1">
      <alignment horizontal="center" vertical="center" wrapText="1"/>
    </xf>
    <xf numFmtId="176" fontId="0" fillId="0" borderId="31" xfId="42" applyNumberFormat="1" applyFont="1" applyFill="1" applyBorder="1" applyAlignment="1">
      <alignment wrapText="1"/>
    </xf>
    <xf numFmtId="0" fontId="1" fillId="0" borderId="36" xfId="0" applyFont="1" applyFill="1" applyBorder="1" applyAlignment="1">
      <alignment horizontal="left" wrapText="1"/>
    </xf>
    <xf numFmtId="0" fontId="1" fillId="0" borderId="37" xfId="0" applyFont="1" applyFill="1" applyBorder="1" applyAlignment="1">
      <alignment horizontal="left" wrapText="1"/>
    </xf>
    <xf numFmtId="176" fontId="0" fillId="0" borderId="38" xfId="42" applyNumberFormat="1" applyFont="1" applyFill="1" applyBorder="1" applyAlignment="1">
      <alignment wrapText="1"/>
    </xf>
    <xf numFmtId="0" fontId="1" fillId="0" borderId="39" xfId="0" applyFont="1" applyFill="1" applyBorder="1" applyAlignment="1">
      <alignment horizontal="left" wrapText="1"/>
    </xf>
    <xf numFmtId="176" fontId="0" fillId="0" borderId="40" xfId="42" applyNumberFormat="1" applyFont="1" applyFill="1" applyBorder="1" applyAlignment="1">
      <alignment wrapText="1"/>
    </xf>
    <xf numFmtId="176" fontId="0" fillId="0" borderId="31" xfId="44" applyNumberFormat="1" applyFont="1" applyFill="1" applyBorder="1" applyAlignment="1">
      <alignment wrapText="1"/>
    </xf>
    <xf numFmtId="0" fontId="1" fillId="4" borderId="23" xfId="0" applyFont="1" applyFill="1" applyBorder="1" applyAlignment="1">
      <alignment horizontal="center"/>
    </xf>
    <xf numFmtId="0" fontId="1" fillId="4" borderId="15" xfId="0" applyFont="1" applyFill="1" applyBorder="1" applyAlignment="1">
      <alignment horizontal="center"/>
    </xf>
    <xf numFmtId="0" fontId="1" fillId="4" borderId="35" xfId="0" applyFont="1" applyFill="1" applyBorder="1" applyAlignment="1">
      <alignment horizontal="center"/>
    </xf>
    <xf numFmtId="0" fontId="1" fillId="0" borderId="0" xfId="0" applyFont="1" applyAlignment="1">
      <alignment horizontal="center" wrapText="1"/>
    </xf>
    <xf numFmtId="0" fontId="11" fillId="22" borderId="23" xfId="0" applyFont="1" applyFill="1" applyBorder="1" applyAlignment="1">
      <alignment horizontal="center" vertical="center" wrapText="1"/>
    </xf>
    <xf numFmtId="0" fontId="11" fillId="22" borderId="15" xfId="0" applyFont="1" applyFill="1" applyBorder="1" applyAlignment="1">
      <alignment horizontal="center" vertical="center" wrapText="1"/>
    </xf>
    <xf numFmtId="0" fontId="11" fillId="22" borderId="3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58"/>
  <sheetViews>
    <sheetView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C8" sqref="C8"/>
    </sheetView>
  </sheetViews>
  <sheetFormatPr defaultColWidth="9.140625" defaultRowHeight="12.75"/>
  <cols>
    <col min="1" max="1" width="6.00390625" style="0" customWidth="1"/>
    <col min="3" max="3" width="15.00390625" style="0" bestFit="1" customWidth="1"/>
    <col min="4" max="4" width="11.8515625" style="0" bestFit="1" customWidth="1"/>
    <col min="5" max="5" width="7.7109375" style="0" bestFit="1" customWidth="1"/>
    <col min="7" max="7" width="10.421875" style="0" customWidth="1"/>
    <col min="8" max="8" width="12.7109375" style="0" customWidth="1"/>
    <col min="9" max="9" width="13.140625" style="0" customWidth="1"/>
    <col min="10" max="10" width="13.28125" style="0" customWidth="1"/>
    <col min="11" max="11" width="12.00390625" style="0" customWidth="1"/>
    <col min="12" max="12" width="16.00390625" style="0" customWidth="1"/>
    <col min="13" max="13" width="14.28125" style="0" customWidth="1"/>
    <col min="14" max="14" width="0.85546875" style="0" customWidth="1"/>
    <col min="15" max="15" width="10.421875" style="0" bestFit="1" customWidth="1"/>
    <col min="16" max="16" width="14.28125" style="0" bestFit="1" customWidth="1"/>
    <col min="17" max="17" width="15.140625" style="0" hidden="1" customWidth="1"/>
    <col min="18" max="18" width="16.140625" style="0" customWidth="1"/>
    <col min="19" max="19" width="15.00390625" style="0" bestFit="1" customWidth="1"/>
    <col min="20" max="20" width="23.28125" style="0" bestFit="1" customWidth="1"/>
    <col min="21" max="21" width="14.421875" style="0" hidden="1" customWidth="1"/>
    <col min="22" max="22" width="18.57421875" style="0" bestFit="1" customWidth="1"/>
    <col min="23" max="23" width="23.421875" style="0" customWidth="1"/>
    <col min="24" max="24" width="56.140625" style="0" customWidth="1"/>
  </cols>
  <sheetData>
    <row r="1" spans="1:14" ht="18.75" customHeight="1">
      <c r="A1" s="2" t="s">
        <v>0</v>
      </c>
      <c r="N1" s="3"/>
    </row>
    <row r="2" spans="1:23" ht="12.75">
      <c r="A2" s="2" t="s">
        <v>1</v>
      </c>
      <c r="J2" s="1"/>
      <c r="N2" s="3"/>
      <c r="W2" s="43"/>
    </row>
    <row r="3" spans="1:18" ht="12.75">
      <c r="A3" s="2"/>
      <c r="J3" s="1"/>
      <c r="N3" s="3"/>
      <c r="R3" s="1"/>
    </row>
    <row r="4" spans="1:14" ht="12.75">
      <c r="A4" s="122" t="s">
        <v>123</v>
      </c>
      <c r="B4" s="122"/>
      <c r="C4" s="122"/>
      <c r="D4" s="122"/>
      <c r="H4" s="41"/>
      <c r="J4" s="42"/>
      <c r="K4" s="41"/>
      <c r="L4" s="41"/>
      <c r="N4" s="3"/>
    </row>
    <row r="5" spans="1:14" ht="13.5" thickBot="1">
      <c r="A5" s="122"/>
      <c r="B5" s="122"/>
      <c r="C5" s="122"/>
      <c r="D5" s="122"/>
      <c r="L5" s="41"/>
      <c r="N5" s="3"/>
    </row>
    <row r="6" spans="1:23" ht="13.5" thickBot="1">
      <c r="A6" s="18"/>
      <c r="B6" s="5"/>
      <c r="C6" s="5"/>
      <c r="D6" s="5"/>
      <c r="E6" s="6"/>
      <c r="F6" s="6"/>
      <c r="G6" s="6"/>
      <c r="H6" s="6"/>
      <c r="I6" s="6"/>
      <c r="J6" s="6"/>
      <c r="K6" s="6"/>
      <c r="M6" s="6"/>
      <c r="N6" s="7"/>
      <c r="O6" s="6"/>
      <c r="P6" s="6"/>
      <c r="Q6" s="6"/>
      <c r="R6" s="6"/>
      <c r="S6" s="6"/>
      <c r="T6" s="6"/>
      <c r="U6" s="6"/>
      <c r="V6" s="6"/>
      <c r="W6" s="6"/>
    </row>
    <row r="7" spans="1:23" ht="13.5" thickBot="1">
      <c r="A7" s="5"/>
      <c r="B7" s="5"/>
      <c r="C7" s="5"/>
      <c r="D7" s="5"/>
      <c r="E7" s="6"/>
      <c r="F7" s="119" t="s">
        <v>119</v>
      </c>
      <c r="G7" s="120"/>
      <c r="H7" s="120"/>
      <c r="I7" s="120"/>
      <c r="J7" s="120"/>
      <c r="K7" s="120"/>
      <c r="L7" s="120"/>
      <c r="M7" s="121"/>
      <c r="N7" s="8"/>
      <c r="O7" s="119" t="s">
        <v>111</v>
      </c>
      <c r="P7" s="120"/>
      <c r="Q7" s="120"/>
      <c r="R7" s="120"/>
      <c r="S7" s="120"/>
      <c r="T7" s="120"/>
      <c r="U7" s="120"/>
      <c r="V7" s="121"/>
      <c r="W7" s="6"/>
    </row>
    <row r="8" spans="1:24" ht="67.5" customHeight="1" thickBot="1">
      <c r="A8" s="9" t="s">
        <v>140</v>
      </c>
      <c r="B8" s="16" t="s">
        <v>11</v>
      </c>
      <c r="C8" s="13" t="s">
        <v>2</v>
      </c>
      <c r="D8" s="9" t="s">
        <v>74</v>
      </c>
      <c r="E8" s="14" t="s">
        <v>52</v>
      </c>
      <c r="F8" s="9" t="s">
        <v>53</v>
      </c>
      <c r="G8" s="9" t="s">
        <v>66</v>
      </c>
      <c r="H8" s="9" t="s">
        <v>120</v>
      </c>
      <c r="I8" s="9" t="s">
        <v>19</v>
      </c>
      <c r="J8" s="9" t="s">
        <v>59</v>
      </c>
      <c r="K8" s="9" t="s">
        <v>58</v>
      </c>
      <c r="L8" s="9" t="s">
        <v>55</v>
      </c>
      <c r="M8" s="9" t="s">
        <v>78</v>
      </c>
      <c r="N8" s="17"/>
      <c r="O8" s="9" t="s">
        <v>67</v>
      </c>
      <c r="P8" s="9" t="s">
        <v>68</v>
      </c>
      <c r="Q8" s="9" t="s">
        <v>19</v>
      </c>
      <c r="R8" s="9" t="s">
        <v>54</v>
      </c>
      <c r="S8" s="9" t="s">
        <v>56</v>
      </c>
      <c r="T8" s="9" t="s">
        <v>57</v>
      </c>
      <c r="U8" s="9" t="s">
        <v>35</v>
      </c>
      <c r="V8" s="9" t="s">
        <v>79</v>
      </c>
      <c r="W8" s="9" t="s">
        <v>60</v>
      </c>
      <c r="X8" s="9" t="s">
        <v>80</v>
      </c>
    </row>
    <row r="9" spans="1:24" s="1" customFormat="1" ht="39.75" customHeight="1" thickBot="1">
      <c r="A9" s="22">
        <v>1</v>
      </c>
      <c r="B9" s="23">
        <v>1</v>
      </c>
      <c r="C9" s="24" t="s">
        <v>3</v>
      </c>
      <c r="D9" s="49">
        <v>8274527</v>
      </c>
      <c r="E9" s="51">
        <v>322</v>
      </c>
      <c r="F9" s="23">
        <v>251</v>
      </c>
      <c r="G9" s="25">
        <f>11264+3107</f>
        <v>14371</v>
      </c>
      <c r="H9" s="25">
        <v>1622</v>
      </c>
      <c r="I9" s="26">
        <f aca="true" t="shared" si="0" ref="I9:I38">G9/H9</f>
        <v>8.860049321824908</v>
      </c>
      <c r="J9" s="27">
        <f aca="true" t="shared" si="1" ref="J9:J38">G9/(D9/1000)</f>
        <v>1.7367760114868198</v>
      </c>
      <c r="K9" s="27">
        <f>G9/E9</f>
        <v>44.630434782608695</v>
      </c>
      <c r="L9" s="44">
        <v>1303739273</v>
      </c>
      <c r="M9" s="47">
        <f aca="true" t="shared" si="2" ref="M9:M38">L9/D9</f>
        <v>157.56057995822601</v>
      </c>
      <c r="N9" s="17"/>
      <c r="O9" s="25">
        <v>35624</v>
      </c>
      <c r="P9" s="25">
        <v>10362</v>
      </c>
      <c r="Q9" s="26">
        <f aca="true" t="shared" si="3" ref="Q9:Q38">O9/P9</f>
        <v>3.437946342404941</v>
      </c>
      <c r="R9" s="26">
        <f>O9/(D9/1000)</f>
        <v>4.3052611949903605</v>
      </c>
      <c r="S9" s="26">
        <f aca="true" t="shared" si="4" ref="S9:S38">O9/E9</f>
        <v>110.63354037267081</v>
      </c>
      <c r="T9" s="44">
        <v>3561995428</v>
      </c>
      <c r="U9" s="28" t="e">
        <f>T9/#REF!</f>
        <v>#REF!</v>
      </c>
      <c r="V9" s="48">
        <f aca="true" t="shared" si="5" ref="V9:V38">T9/D9</f>
        <v>430.477225828135</v>
      </c>
      <c r="W9" s="20" t="s">
        <v>86</v>
      </c>
      <c r="X9" s="29" t="s">
        <v>87</v>
      </c>
    </row>
    <row r="10" spans="1:24" s="1" customFormat="1" ht="30" customHeight="1" thickBot="1">
      <c r="A10" s="30">
        <v>2</v>
      </c>
      <c r="B10" s="11">
        <v>2</v>
      </c>
      <c r="C10" s="31" t="s">
        <v>48</v>
      </c>
      <c r="D10" s="12">
        <v>3834340</v>
      </c>
      <c r="E10" s="32">
        <v>471</v>
      </c>
      <c r="F10" s="11">
        <v>106</v>
      </c>
      <c r="G10" s="12">
        <v>3594</v>
      </c>
      <c r="H10" s="12">
        <v>346</v>
      </c>
      <c r="I10" s="10">
        <f t="shared" si="0"/>
        <v>10.38728323699422</v>
      </c>
      <c r="J10" s="33">
        <f t="shared" si="1"/>
        <v>0.9373190692531178</v>
      </c>
      <c r="K10" s="33">
        <f>G10/E10</f>
        <v>7.630573248407643</v>
      </c>
      <c r="L10" s="45">
        <v>528388876</v>
      </c>
      <c r="M10" s="46">
        <f t="shared" si="2"/>
        <v>137.8043877173125</v>
      </c>
      <c r="N10" s="17"/>
      <c r="O10" s="12">
        <v>10466</v>
      </c>
      <c r="P10" s="12">
        <v>3778</v>
      </c>
      <c r="Q10" s="10">
        <f t="shared" si="3"/>
        <v>2.7702488088935944</v>
      </c>
      <c r="R10" s="26">
        <f aca="true" t="shared" si="6" ref="R10:R38">O10/(D10/1000)</f>
        <v>2.7295440675579106</v>
      </c>
      <c r="S10" s="10">
        <f t="shared" si="4"/>
        <v>22.220806794055203</v>
      </c>
      <c r="T10" s="45">
        <v>1164257767</v>
      </c>
      <c r="U10" s="10" t="e">
        <f>T10/#REF!</f>
        <v>#REF!</v>
      </c>
      <c r="V10" s="46">
        <f t="shared" si="5"/>
        <v>303.63967905819516</v>
      </c>
      <c r="W10" s="10"/>
      <c r="X10" s="29" t="s">
        <v>88</v>
      </c>
    </row>
    <row r="11" spans="1:25" s="1" customFormat="1" ht="113.25" customHeight="1" thickBot="1">
      <c r="A11" s="30">
        <v>3</v>
      </c>
      <c r="B11" s="11">
        <v>3</v>
      </c>
      <c r="C11" s="31" t="s">
        <v>49</v>
      </c>
      <c r="D11" s="50">
        <v>2836658</v>
      </c>
      <c r="E11" s="32">
        <v>228</v>
      </c>
      <c r="F11" s="11">
        <v>101</v>
      </c>
      <c r="G11" s="12">
        <f>4789+73+198</f>
        <v>5060</v>
      </c>
      <c r="H11" s="12">
        <f>135+1</f>
        <v>136</v>
      </c>
      <c r="I11" s="10">
        <f t="shared" si="0"/>
        <v>37.205882352941174</v>
      </c>
      <c r="J11" s="33">
        <f t="shared" si="1"/>
        <v>1.783789233668634</v>
      </c>
      <c r="K11" s="33">
        <f aca="true" t="shared" si="7" ref="K11:K28">G11/E11</f>
        <v>22.19298245614035</v>
      </c>
      <c r="L11" s="45">
        <v>489862377</v>
      </c>
      <c r="M11" s="46">
        <f t="shared" si="2"/>
        <v>172.68996720789042</v>
      </c>
      <c r="N11" s="17"/>
      <c r="O11" s="12">
        <v>13486</v>
      </c>
      <c r="P11" s="12">
        <f>16094-O11</f>
        <v>2608</v>
      </c>
      <c r="Q11" s="10">
        <f t="shared" si="3"/>
        <v>5.17101226993865</v>
      </c>
      <c r="R11" s="26">
        <f t="shared" si="6"/>
        <v>4.754186087995099</v>
      </c>
      <c r="S11" s="10">
        <f t="shared" si="4"/>
        <v>59.14912280701754</v>
      </c>
      <c r="T11" s="45">
        <f>1267776609-37176000</f>
        <v>1230600609</v>
      </c>
      <c r="U11" s="10" t="e">
        <f>T11/#REF!</f>
        <v>#REF!</v>
      </c>
      <c r="V11" s="46">
        <f t="shared" si="5"/>
        <v>433.82057653760165</v>
      </c>
      <c r="W11" s="19" t="s">
        <v>114</v>
      </c>
      <c r="X11" s="29" t="s">
        <v>89</v>
      </c>
      <c r="Y11" s="20"/>
    </row>
    <row r="12" spans="1:24" s="1" customFormat="1" ht="26.25" thickBot="1">
      <c r="A12" s="30">
        <v>4</v>
      </c>
      <c r="B12" s="11">
        <v>4</v>
      </c>
      <c r="C12" s="31" t="s">
        <v>4</v>
      </c>
      <c r="D12" s="12">
        <v>2208180</v>
      </c>
      <c r="E12" s="32">
        <v>617</v>
      </c>
      <c r="F12" s="11">
        <v>90</v>
      </c>
      <c r="G12" s="12">
        <f>3848.4+122.4</f>
        <v>3970.8</v>
      </c>
      <c r="H12" s="12">
        <v>286</v>
      </c>
      <c r="I12" s="10">
        <f t="shared" si="0"/>
        <v>13.883916083916084</v>
      </c>
      <c r="J12" s="33">
        <f t="shared" si="1"/>
        <v>1.7982229709534552</v>
      </c>
      <c r="K12" s="33">
        <f t="shared" si="7"/>
        <v>6.435656401944895</v>
      </c>
      <c r="L12" s="45">
        <v>387774711</v>
      </c>
      <c r="M12" s="46">
        <f t="shared" si="2"/>
        <v>175.60828872646252</v>
      </c>
      <c r="N12" s="17"/>
      <c r="O12" s="12">
        <f>4930.6+202.7</f>
        <v>5133.3</v>
      </c>
      <c r="P12" s="12">
        <v>1239.2</v>
      </c>
      <c r="Q12" s="10">
        <f t="shared" si="3"/>
        <v>4.142430600387347</v>
      </c>
      <c r="R12" s="26">
        <f t="shared" si="6"/>
        <v>2.3246746189169363</v>
      </c>
      <c r="S12" s="10">
        <f t="shared" si="4"/>
        <v>8.319773095623987</v>
      </c>
      <c r="T12" s="45">
        <v>601868946</v>
      </c>
      <c r="U12" s="10" t="e">
        <f>T12/#REF!</f>
        <v>#REF!</v>
      </c>
      <c r="V12" s="46">
        <f t="shared" si="5"/>
        <v>272.56335353096216</v>
      </c>
      <c r="W12" s="10"/>
      <c r="X12" s="29" t="s">
        <v>90</v>
      </c>
    </row>
    <row r="13" spans="1:24" s="1" customFormat="1" ht="78.75" customHeight="1" thickBot="1">
      <c r="A13" s="30">
        <v>5</v>
      </c>
      <c r="B13" s="11">
        <v>5</v>
      </c>
      <c r="C13" s="31" t="s">
        <v>6</v>
      </c>
      <c r="D13" s="12">
        <v>1552259</v>
      </c>
      <c r="E13" s="35">
        <v>516.8</v>
      </c>
      <c r="F13" s="11">
        <v>55</v>
      </c>
      <c r="G13" s="12">
        <v>1651</v>
      </c>
      <c r="H13" s="12">
        <v>389</v>
      </c>
      <c r="I13" s="10">
        <f t="shared" si="0"/>
        <v>4.244215938303342</v>
      </c>
      <c r="J13" s="33">
        <f t="shared" si="1"/>
        <v>1.0636111628278528</v>
      </c>
      <c r="K13" s="33">
        <f t="shared" si="7"/>
        <v>3.1946594427244586</v>
      </c>
      <c r="L13" s="45">
        <f>244403000+10985000+8350000</f>
        <v>263738000</v>
      </c>
      <c r="M13" s="46">
        <f t="shared" si="2"/>
        <v>169.90592420465916</v>
      </c>
      <c r="N13" s="17"/>
      <c r="O13" s="12">
        <v>3234</v>
      </c>
      <c r="P13" s="12">
        <f>4439-O13</f>
        <v>1205</v>
      </c>
      <c r="Q13" s="10">
        <f t="shared" si="3"/>
        <v>2.683817427385892</v>
      </c>
      <c r="R13" s="26">
        <f t="shared" si="6"/>
        <v>2.083415203261827</v>
      </c>
      <c r="S13" s="10">
        <f t="shared" si="4"/>
        <v>6.257739938080496</v>
      </c>
      <c r="T13" s="45">
        <f>452488000+26155000+17666000</f>
        <v>496309000</v>
      </c>
      <c r="U13" s="10" t="e">
        <f>T13/#REF!</f>
        <v>#REF!</v>
      </c>
      <c r="V13" s="46">
        <f t="shared" si="5"/>
        <v>319.73336923799445</v>
      </c>
      <c r="W13" s="19" t="s">
        <v>61</v>
      </c>
      <c r="X13" s="29" t="s">
        <v>91</v>
      </c>
    </row>
    <row r="14" spans="1:24" s="1" customFormat="1" ht="115.5" thickBot="1">
      <c r="A14" s="30">
        <v>6</v>
      </c>
      <c r="B14" s="11">
        <v>6</v>
      </c>
      <c r="C14" s="31" t="s">
        <v>5</v>
      </c>
      <c r="D14" s="12">
        <f>1449634+T4</f>
        <v>1449634</v>
      </c>
      <c r="E14" s="32">
        <v>135</v>
      </c>
      <c r="F14" s="11">
        <v>62</v>
      </c>
      <c r="G14" s="12">
        <v>2315</v>
      </c>
      <c r="H14" s="12">
        <v>110</v>
      </c>
      <c r="I14" s="10">
        <f t="shared" si="0"/>
        <v>21.045454545454547</v>
      </c>
      <c r="J14" s="33">
        <f t="shared" si="1"/>
        <v>1.5969548175608463</v>
      </c>
      <c r="K14" s="33">
        <f t="shared" si="7"/>
        <v>17.14814814814815</v>
      </c>
      <c r="L14" s="45">
        <f>190107667+81887815</f>
        <v>271995482</v>
      </c>
      <c r="M14" s="46">
        <f t="shared" si="2"/>
        <v>187.63045154845983</v>
      </c>
      <c r="N14" s="17"/>
      <c r="O14" s="12">
        <v>6624</v>
      </c>
      <c r="P14" s="12">
        <v>884</v>
      </c>
      <c r="Q14" s="10">
        <f t="shared" si="3"/>
        <v>7.493212669683258</v>
      </c>
      <c r="R14" s="26">
        <f t="shared" si="6"/>
        <v>4.569429249038033</v>
      </c>
      <c r="S14" s="10">
        <f t="shared" si="4"/>
        <v>49.06666666666667</v>
      </c>
      <c r="T14" s="45">
        <f>513834581+217654925</f>
        <v>731489506</v>
      </c>
      <c r="U14" s="10" t="e">
        <f>T14/#REF!</f>
        <v>#REF!</v>
      </c>
      <c r="V14" s="46">
        <f t="shared" si="5"/>
        <v>504.60289010881365</v>
      </c>
      <c r="W14" s="53" t="s">
        <v>115</v>
      </c>
      <c r="X14" s="29" t="s">
        <v>116</v>
      </c>
    </row>
    <row r="15" spans="1:27" s="1" customFormat="1" ht="92.25" customHeight="1" thickBot="1">
      <c r="A15" s="30">
        <v>7</v>
      </c>
      <c r="B15" s="11">
        <v>7</v>
      </c>
      <c r="C15" s="31" t="s">
        <v>7</v>
      </c>
      <c r="D15" s="12">
        <v>1328984</v>
      </c>
      <c r="E15" s="32">
        <v>503</v>
      </c>
      <c r="F15" s="11">
        <v>50</v>
      </c>
      <c r="G15" s="12">
        <v>1564</v>
      </c>
      <c r="H15" s="12">
        <v>106</v>
      </c>
      <c r="I15" s="10">
        <f t="shared" si="0"/>
        <v>14.754716981132075</v>
      </c>
      <c r="J15" s="33">
        <f t="shared" si="1"/>
        <v>1.1768388483232304</v>
      </c>
      <c r="K15" s="33">
        <f t="shared" si="7"/>
        <v>3.10934393638171</v>
      </c>
      <c r="L15" s="45">
        <v>203119222</v>
      </c>
      <c r="M15" s="46">
        <f t="shared" si="2"/>
        <v>152.8379739710937</v>
      </c>
      <c r="N15" s="17"/>
      <c r="O15" s="12">
        <v>2185</v>
      </c>
      <c r="P15" s="12">
        <v>590</v>
      </c>
      <c r="Q15" s="10">
        <f t="shared" si="3"/>
        <v>3.7033898305084745</v>
      </c>
      <c r="R15" s="26">
        <f t="shared" si="6"/>
        <v>1.6441130969221602</v>
      </c>
      <c r="S15" s="10">
        <f t="shared" si="4"/>
        <v>4.343936381709741</v>
      </c>
      <c r="T15" s="45">
        <f>290099840+2072358</f>
        <v>292172198</v>
      </c>
      <c r="U15" s="10" t="e">
        <f>T15/#REF!</f>
        <v>#REF!</v>
      </c>
      <c r="V15" s="46">
        <f t="shared" si="5"/>
        <v>219.84628708848263</v>
      </c>
      <c r="W15" s="19" t="s">
        <v>62</v>
      </c>
      <c r="X15" s="11" t="s">
        <v>92</v>
      </c>
      <c r="AA15" s="19"/>
    </row>
    <row r="16" spans="1:24" s="1" customFormat="1" ht="75.75" customHeight="1" thickBot="1">
      <c r="A16" s="30">
        <v>8</v>
      </c>
      <c r="B16" s="11">
        <v>9</v>
      </c>
      <c r="C16" s="31" t="s">
        <v>43</v>
      </c>
      <c r="D16" s="12">
        <v>1266731</v>
      </c>
      <c r="E16" s="32">
        <v>331</v>
      </c>
      <c r="F16" s="11">
        <v>47</v>
      </c>
      <c r="G16" s="12">
        <v>959.29</v>
      </c>
      <c r="H16" s="12">
        <v>264.61</v>
      </c>
      <c r="I16" s="10">
        <f t="shared" si="0"/>
        <v>3.6252976078001584</v>
      </c>
      <c r="J16" s="33">
        <f t="shared" si="1"/>
        <v>0.757295747873858</v>
      </c>
      <c r="K16" s="33">
        <f t="shared" si="7"/>
        <v>2.898157099697885</v>
      </c>
      <c r="L16" s="45">
        <f>179943098+6667968</f>
        <v>186611066</v>
      </c>
      <c r="M16" s="46">
        <f t="shared" si="2"/>
        <v>147.3170436343628</v>
      </c>
      <c r="N16" s="17"/>
      <c r="O16" s="12">
        <v>2126.75</v>
      </c>
      <c r="P16" s="12">
        <v>691.75</v>
      </c>
      <c r="Q16" s="10">
        <f t="shared" si="3"/>
        <v>3.0744488615829417</v>
      </c>
      <c r="R16" s="26">
        <f t="shared" si="6"/>
        <v>1.6789278860310517</v>
      </c>
      <c r="S16" s="10">
        <f t="shared" si="4"/>
        <v>6.425226586102719</v>
      </c>
      <c r="T16" s="45">
        <f>392336695+1327904</f>
        <v>393664599</v>
      </c>
      <c r="U16" s="10" t="e">
        <f>T16/#REF!</f>
        <v>#REF!</v>
      </c>
      <c r="V16" s="46">
        <f t="shared" si="5"/>
        <v>310.7720573665601</v>
      </c>
      <c r="W16" s="19" t="s">
        <v>63</v>
      </c>
      <c r="X16" s="29" t="s">
        <v>93</v>
      </c>
    </row>
    <row r="17" spans="1:24" s="1" customFormat="1" ht="76.5" customHeight="1" thickBot="1">
      <c r="A17" s="30">
        <v>9</v>
      </c>
      <c r="B17" s="11">
        <v>8</v>
      </c>
      <c r="C17" s="31" t="s">
        <v>40</v>
      </c>
      <c r="D17" s="12">
        <v>1240499</v>
      </c>
      <c r="E17" s="35">
        <v>384.7</v>
      </c>
      <c r="F17" s="11">
        <v>56</v>
      </c>
      <c r="G17" s="12">
        <v>1757.6</v>
      </c>
      <c r="H17" s="12">
        <v>198.2</v>
      </c>
      <c r="I17" s="10">
        <f t="shared" si="0"/>
        <v>8.867810292633703</v>
      </c>
      <c r="J17" s="33">
        <f t="shared" si="1"/>
        <v>1.4168491873028515</v>
      </c>
      <c r="K17" s="33">
        <f t="shared" si="7"/>
        <v>4.568754873927736</v>
      </c>
      <c r="L17" s="45">
        <v>205889000</v>
      </c>
      <c r="M17" s="46">
        <f t="shared" si="2"/>
        <v>165.97272549191896</v>
      </c>
      <c r="N17" s="17"/>
      <c r="O17" s="12">
        <v>3497</v>
      </c>
      <c r="P17" s="12">
        <v>556</v>
      </c>
      <c r="Q17" s="10">
        <f t="shared" si="3"/>
        <v>6.289568345323741</v>
      </c>
      <c r="R17" s="26">
        <f t="shared" si="6"/>
        <v>2.819026859352567</v>
      </c>
      <c r="S17" s="10">
        <f t="shared" si="4"/>
        <v>9.090200155965688</v>
      </c>
      <c r="T17" s="45">
        <f>401072468</f>
        <v>401072468</v>
      </c>
      <c r="U17" s="10" t="e">
        <f>T17/#REF!</f>
        <v>#REF!</v>
      </c>
      <c r="V17" s="46">
        <f t="shared" si="5"/>
        <v>323.3154303227975</v>
      </c>
      <c r="W17" s="19" t="s">
        <v>118</v>
      </c>
      <c r="X17" s="29" t="s">
        <v>117</v>
      </c>
    </row>
    <row r="18" spans="1:24" s="1" customFormat="1" ht="13.5" thickBot="1">
      <c r="A18" s="30">
        <v>10</v>
      </c>
      <c r="B18" s="11">
        <v>11</v>
      </c>
      <c r="C18" s="31" t="s">
        <v>9</v>
      </c>
      <c r="D18" s="12">
        <v>939899</v>
      </c>
      <c r="E18" s="35">
        <v>177.8</v>
      </c>
      <c r="F18" s="11">
        <v>30</v>
      </c>
      <c r="G18" s="12">
        <v>758</v>
      </c>
      <c r="H18" s="12">
        <v>111</v>
      </c>
      <c r="I18" s="10">
        <f t="shared" si="0"/>
        <v>6.828828828828829</v>
      </c>
      <c r="J18" s="33">
        <f t="shared" si="1"/>
        <v>0.8064696313114494</v>
      </c>
      <c r="K18" s="33">
        <f t="shared" si="7"/>
        <v>4.263217097862767</v>
      </c>
      <c r="L18" s="45">
        <v>134390115</v>
      </c>
      <c r="M18" s="46">
        <f t="shared" si="2"/>
        <v>142.98357057513627</v>
      </c>
      <c r="N18" s="17"/>
      <c r="O18" s="12">
        <v>1366</v>
      </c>
      <c r="P18" s="12">
        <v>400</v>
      </c>
      <c r="Q18" s="10">
        <f t="shared" si="3"/>
        <v>3.415</v>
      </c>
      <c r="R18" s="26">
        <f t="shared" si="6"/>
        <v>1.453347646928021</v>
      </c>
      <c r="S18" s="10">
        <f t="shared" si="4"/>
        <v>7.682789651293588</v>
      </c>
      <c r="T18" s="45">
        <v>281142125</v>
      </c>
      <c r="U18" s="10" t="e">
        <f>T18/#REF!</f>
        <v>#REF!</v>
      </c>
      <c r="V18" s="46">
        <f t="shared" si="5"/>
        <v>299.11950645760874</v>
      </c>
      <c r="W18" s="10"/>
      <c r="X18" s="11" t="s">
        <v>95</v>
      </c>
    </row>
    <row r="19" spans="1:24" s="1" customFormat="1" ht="34.5" thickBot="1">
      <c r="A19" s="30">
        <v>11</v>
      </c>
      <c r="B19" s="11">
        <v>10</v>
      </c>
      <c r="C19" s="31" t="s">
        <v>8</v>
      </c>
      <c r="D19" s="12">
        <v>916952</v>
      </c>
      <c r="E19" s="32">
        <v>140</v>
      </c>
      <c r="F19" s="11">
        <v>46</v>
      </c>
      <c r="G19" s="12">
        <f>1171+308</f>
        <v>1479</v>
      </c>
      <c r="H19" s="12">
        <v>56</v>
      </c>
      <c r="I19" s="10">
        <f t="shared" si="0"/>
        <v>26.410714285714285</v>
      </c>
      <c r="J19" s="33">
        <f t="shared" si="1"/>
        <v>1.612952477337963</v>
      </c>
      <c r="K19" s="33">
        <f t="shared" si="7"/>
        <v>10.564285714285715</v>
      </c>
      <c r="L19" s="45">
        <v>184801899</v>
      </c>
      <c r="M19" s="46">
        <f t="shared" si="2"/>
        <v>201.53933793699125</v>
      </c>
      <c r="N19" s="17"/>
      <c r="O19" s="12">
        <v>3318</v>
      </c>
      <c r="P19" s="12">
        <v>378</v>
      </c>
      <c r="Q19" s="10">
        <f t="shared" si="3"/>
        <v>8.777777777777779</v>
      </c>
      <c r="R19" s="26">
        <f t="shared" si="6"/>
        <v>3.618510020153727</v>
      </c>
      <c r="S19" s="10">
        <f t="shared" si="4"/>
        <v>23.7</v>
      </c>
      <c r="T19" s="45">
        <v>425242068</v>
      </c>
      <c r="U19" s="10" t="e">
        <f>T19/#REF!</f>
        <v>#REF!</v>
      </c>
      <c r="V19" s="46">
        <f t="shared" si="5"/>
        <v>463.75608319737563</v>
      </c>
      <c r="W19" s="19" t="s">
        <v>64</v>
      </c>
      <c r="X19" s="11" t="s">
        <v>96</v>
      </c>
    </row>
    <row r="20" spans="1:24" s="1" customFormat="1" ht="57" thickBot="1">
      <c r="A20" s="30">
        <v>12</v>
      </c>
      <c r="B20" s="11">
        <v>12</v>
      </c>
      <c r="C20" s="36" t="s">
        <v>65</v>
      </c>
      <c r="D20" s="12">
        <v>805605</v>
      </c>
      <c r="E20" s="32">
        <v>841</v>
      </c>
      <c r="F20" s="11">
        <v>56</v>
      </c>
      <c r="G20" s="12">
        <v>1234</v>
      </c>
      <c r="H20" s="12">
        <v>75</v>
      </c>
      <c r="I20" s="10">
        <f t="shared" si="0"/>
        <v>16.453333333333333</v>
      </c>
      <c r="J20" s="33">
        <f t="shared" si="1"/>
        <v>1.5317680500989939</v>
      </c>
      <c r="K20" s="33">
        <f t="shared" si="7"/>
        <v>1.4673008323424495</v>
      </c>
      <c r="L20" s="45">
        <v>144997511</v>
      </c>
      <c r="M20" s="46">
        <f t="shared" si="2"/>
        <v>179.98586279876614</v>
      </c>
      <c r="N20" s="17"/>
      <c r="O20" s="12">
        <v>1665</v>
      </c>
      <c r="P20" s="12">
        <v>1337</v>
      </c>
      <c r="Q20" s="10">
        <f t="shared" si="3"/>
        <v>1.2453253552729993</v>
      </c>
      <c r="R20" s="26">
        <f t="shared" si="6"/>
        <v>2.066769694825628</v>
      </c>
      <c r="S20" s="10">
        <f t="shared" si="4"/>
        <v>1.9797859690844233</v>
      </c>
      <c r="T20" s="45">
        <v>322379936</v>
      </c>
      <c r="U20" s="10" t="e">
        <f>T20/#REF!</f>
        <v>#REF!</v>
      </c>
      <c r="V20" s="46">
        <f t="shared" si="5"/>
        <v>400.17122038716246</v>
      </c>
      <c r="W20" s="19" t="s">
        <v>76</v>
      </c>
      <c r="X20" s="37" t="s">
        <v>112</v>
      </c>
    </row>
    <row r="21" spans="1:24" s="1" customFormat="1" ht="102" customHeight="1" thickBot="1">
      <c r="A21" s="30">
        <v>13</v>
      </c>
      <c r="B21" s="11">
        <v>14</v>
      </c>
      <c r="C21" s="31" t="s">
        <v>10</v>
      </c>
      <c r="D21" s="12">
        <v>795458</v>
      </c>
      <c r="E21" s="35">
        <v>361.5</v>
      </c>
      <c r="F21" s="11">
        <v>34</v>
      </c>
      <c r="G21" s="12">
        <f>949+65</f>
        <v>1014</v>
      </c>
      <c r="H21" s="12">
        <f>154-65</f>
        <v>89</v>
      </c>
      <c r="I21" s="10">
        <f t="shared" si="0"/>
        <v>11.393258426966293</v>
      </c>
      <c r="J21" s="33">
        <f t="shared" si="1"/>
        <v>1.2747373211407769</v>
      </c>
      <c r="K21" s="33">
        <f t="shared" si="7"/>
        <v>2.804979253112033</v>
      </c>
      <c r="L21" s="45">
        <f>12347070+81407796+40946300</f>
        <v>134701166</v>
      </c>
      <c r="M21" s="46">
        <f t="shared" si="2"/>
        <v>169.3378732755218</v>
      </c>
      <c r="N21" s="17"/>
      <c r="O21" s="12">
        <v>1740</v>
      </c>
      <c r="P21" s="12">
        <f>320+23+62</f>
        <v>405</v>
      </c>
      <c r="Q21" s="10">
        <f t="shared" si="3"/>
        <v>4.296296296296297</v>
      </c>
      <c r="R21" s="26">
        <f t="shared" si="6"/>
        <v>2.187419071780031</v>
      </c>
      <c r="S21" s="10">
        <f t="shared" si="4"/>
        <v>4.813278008298755</v>
      </c>
      <c r="T21" s="45">
        <f>143522+154519273+45985930+6320932</f>
        <v>206969657</v>
      </c>
      <c r="U21" s="10" t="e">
        <f>T21/#REF!</f>
        <v>#REF!</v>
      </c>
      <c r="V21" s="46">
        <f t="shared" si="5"/>
        <v>260.1892959779146</v>
      </c>
      <c r="W21" s="19" t="s">
        <v>81</v>
      </c>
      <c r="X21" s="37" t="s">
        <v>113</v>
      </c>
    </row>
    <row r="22" spans="1:24" s="1" customFormat="1" ht="37.5" customHeight="1" thickBot="1">
      <c r="A22" s="30">
        <v>14</v>
      </c>
      <c r="B22" s="11">
        <v>13</v>
      </c>
      <c r="C22" s="31" t="s">
        <v>42</v>
      </c>
      <c r="D22" s="12">
        <v>764976</v>
      </c>
      <c r="E22" s="32">
        <v>49</v>
      </c>
      <c r="F22" s="11">
        <v>42</v>
      </c>
      <c r="G22" s="12">
        <v>1650</v>
      </c>
      <c r="H22" s="12">
        <v>77</v>
      </c>
      <c r="I22" s="10">
        <f t="shared" si="0"/>
        <v>21.428571428571427</v>
      </c>
      <c r="J22" s="33">
        <f t="shared" si="1"/>
        <v>2.1569304135031686</v>
      </c>
      <c r="K22" s="33">
        <f t="shared" si="7"/>
        <v>33.673469387755105</v>
      </c>
      <c r="L22" s="45">
        <v>241584331</v>
      </c>
      <c r="M22" s="46">
        <f t="shared" si="2"/>
        <v>315.8064187634645</v>
      </c>
      <c r="N22" s="17"/>
      <c r="O22" s="12">
        <v>2491</v>
      </c>
      <c r="P22" s="12">
        <v>357.38</v>
      </c>
      <c r="Q22" s="10">
        <f t="shared" si="3"/>
        <v>6.970171805920868</v>
      </c>
      <c r="R22" s="26">
        <f t="shared" si="6"/>
        <v>3.2563113091129656</v>
      </c>
      <c r="S22" s="10">
        <f t="shared" si="4"/>
        <v>50.83673469387755</v>
      </c>
      <c r="T22" s="45">
        <v>355573139</v>
      </c>
      <c r="U22" s="10" t="e">
        <f>T22/#REF!</f>
        <v>#REF!</v>
      </c>
      <c r="V22" s="46">
        <f t="shared" si="5"/>
        <v>464.81607135387253</v>
      </c>
      <c r="W22" s="19" t="s">
        <v>69</v>
      </c>
      <c r="X22" s="37" t="s">
        <v>97</v>
      </c>
    </row>
    <row r="23" spans="1:24" s="1" customFormat="1" ht="13.5" thickBot="1">
      <c r="A23" s="30">
        <v>15</v>
      </c>
      <c r="B23" s="11">
        <v>15</v>
      </c>
      <c r="C23" s="31" t="s">
        <v>12</v>
      </c>
      <c r="D23" s="12">
        <v>747755</v>
      </c>
      <c r="E23" s="32">
        <v>227</v>
      </c>
      <c r="F23" s="11">
        <v>32</v>
      </c>
      <c r="G23" s="12">
        <v>1550</v>
      </c>
      <c r="H23" s="12">
        <v>51</v>
      </c>
      <c r="I23" s="10">
        <f t="shared" si="0"/>
        <v>30.392156862745097</v>
      </c>
      <c r="J23" s="33">
        <f t="shared" si="1"/>
        <v>2.0728714619093154</v>
      </c>
      <c r="K23" s="33">
        <f t="shared" si="7"/>
        <v>6.828193832599119</v>
      </c>
      <c r="L23" s="45">
        <v>191198369</v>
      </c>
      <c r="M23" s="46">
        <f t="shared" si="2"/>
        <v>255.69654365400433</v>
      </c>
      <c r="N23" s="17"/>
      <c r="O23" s="12">
        <v>1927</v>
      </c>
      <c r="P23" s="12">
        <v>370</v>
      </c>
      <c r="Q23" s="10">
        <f t="shared" si="3"/>
        <v>5.208108108108108</v>
      </c>
      <c r="R23" s="26">
        <f t="shared" si="6"/>
        <v>2.577047294902742</v>
      </c>
      <c r="S23" s="10">
        <f t="shared" si="4"/>
        <v>8.48898678414097</v>
      </c>
      <c r="T23" s="45">
        <v>253917594</v>
      </c>
      <c r="U23" s="10" t="e">
        <f>T23/#REF!</f>
        <v>#REF!</v>
      </c>
      <c r="V23" s="46">
        <f t="shared" si="5"/>
        <v>339.5732479221135</v>
      </c>
      <c r="W23" s="10"/>
      <c r="X23" s="11" t="s">
        <v>98</v>
      </c>
    </row>
    <row r="24" spans="1:24" s="1" customFormat="1" ht="79.5" thickBot="1">
      <c r="A24" s="30">
        <v>16</v>
      </c>
      <c r="B24" s="11">
        <v>16</v>
      </c>
      <c r="C24" s="31" t="s">
        <v>13</v>
      </c>
      <c r="D24" s="12">
        <v>743074</v>
      </c>
      <c r="E24" s="35">
        <v>271.8</v>
      </c>
      <c r="F24" s="11">
        <v>42</v>
      </c>
      <c r="G24" s="12">
        <v>1079</v>
      </c>
      <c r="H24" s="12">
        <f>67+8</f>
        <v>75</v>
      </c>
      <c r="I24" s="10">
        <f t="shared" si="0"/>
        <v>14.386666666666667</v>
      </c>
      <c r="J24" s="33">
        <f t="shared" si="1"/>
        <v>1.4520761054753633</v>
      </c>
      <c r="K24" s="33">
        <f t="shared" si="7"/>
        <v>3.969830757910228</v>
      </c>
      <c r="L24" s="45">
        <f>116888512+1026890</f>
        <v>117915402</v>
      </c>
      <c r="M24" s="46">
        <f t="shared" si="2"/>
        <v>158.68594783292107</v>
      </c>
      <c r="N24" s="17"/>
      <c r="O24" s="12">
        <v>1515</v>
      </c>
      <c r="P24" s="12">
        <v>611.5</v>
      </c>
      <c r="Q24" s="10">
        <f t="shared" si="3"/>
        <v>2.4775143090760423</v>
      </c>
      <c r="R24" s="26">
        <f t="shared" si="6"/>
        <v>2.038827896010357</v>
      </c>
      <c r="S24" s="10">
        <f t="shared" si="4"/>
        <v>5.573951434878587</v>
      </c>
      <c r="T24" s="45">
        <v>219669973</v>
      </c>
      <c r="U24" s="10" t="e">
        <f>T24/#REF!</f>
        <v>#REF!</v>
      </c>
      <c r="V24" s="46">
        <f t="shared" si="5"/>
        <v>295.6232797810178</v>
      </c>
      <c r="W24" s="19" t="s">
        <v>82</v>
      </c>
      <c r="X24" s="37" t="s">
        <v>107</v>
      </c>
    </row>
    <row r="25" spans="1:24" s="1" customFormat="1" ht="45.75" thickBot="1">
      <c r="A25" s="30">
        <v>17</v>
      </c>
      <c r="B25" s="11">
        <v>17</v>
      </c>
      <c r="C25" s="31" t="s">
        <v>39</v>
      </c>
      <c r="D25" s="12">
        <v>681818</v>
      </c>
      <c r="E25" s="32">
        <v>344</v>
      </c>
      <c r="F25" s="11">
        <v>40</v>
      </c>
      <c r="G25" s="12">
        <v>853</v>
      </c>
      <c r="H25" s="12">
        <v>47</v>
      </c>
      <c r="I25" s="10">
        <f t="shared" si="0"/>
        <v>18.148936170212767</v>
      </c>
      <c r="J25" s="33">
        <f t="shared" si="1"/>
        <v>1.2510670002845334</v>
      </c>
      <c r="K25" s="33">
        <f>G25/E25</f>
        <v>2.479651162790698</v>
      </c>
      <c r="L25" s="45">
        <v>97499456</v>
      </c>
      <c r="M25" s="46">
        <f t="shared" si="2"/>
        <v>142.99924026646408</v>
      </c>
      <c r="N25" s="17"/>
      <c r="O25" s="12">
        <v>1483</v>
      </c>
      <c r="P25" s="12">
        <v>176</v>
      </c>
      <c r="Q25" s="10">
        <f t="shared" si="3"/>
        <v>8.426136363636363</v>
      </c>
      <c r="R25" s="26">
        <f t="shared" si="6"/>
        <v>2.1750672466845993</v>
      </c>
      <c r="S25" s="10">
        <f t="shared" si="4"/>
        <v>4.311046511627907</v>
      </c>
      <c r="T25" s="45">
        <v>157743460</v>
      </c>
      <c r="U25" s="10" t="e">
        <f>T25/#REF!</f>
        <v>#REF!</v>
      </c>
      <c r="V25" s="46">
        <f t="shared" si="5"/>
        <v>231.35713636190303</v>
      </c>
      <c r="W25" s="19" t="s">
        <v>70</v>
      </c>
      <c r="X25" s="11" t="s">
        <v>94</v>
      </c>
    </row>
    <row r="26" spans="1:24" s="1" customFormat="1" ht="57" thickBot="1">
      <c r="A26" s="30">
        <v>18</v>
      </c>
      <c r="B26" s="11">
        <v>18</v>
      </c>
      <c r="C26" s="31" t="s">
        <v>26</v>
      </c>
      <c r="D26" s="12">
        <v>674028</v>
      </c>
      <c r="E26" s="32">
        <v>296</v>
      </c>
      <c r="F26" s="11">
        <v>56</v>
      </c>
      <c r="G26" s="12">
        <v>1654</v>
      </c>
      <c r="H26" s="11">
        <v>235</v>
      </c>
      <c r="I26" s="10">
        <f t="shared" si="0"/>
        <v>7.038297872340426</v>
      </c>
      <c r="J26" s="33">
        <f t="shared" si="1"/>
        <v>2.4539039921190215</v>
      </c>
      <c r="K26" s="33">
        <f t="shared" si="7"/>
        <v>5.587837837837838</v>
      </c>
      <c r="L26" s="45">
        <v>148432830</v>
      </c>
      <c r="M26" s="46">
        <f t="shared" si="2"/>
        <v>220.2176022361089</v>
      </c>
      <c r="N26" s="54"/>
      <c r="O26" s="12">
        <v>2018</v>
      </c>
      <c r="P26" s="12">
        <v>650.66</v>
      </c>
      <c r="Q26" s="10">
        <f t="shared" si="3"/>
        <v>3.101466203547168</v>
      </c>
      <c r="R26" s="26">
        <f t="shared" si="6"/>
        <v>2.9939409045321557</v>
      </c>
      <c r="S26" s="10">
        <f t="shared" si="4"/>
        <v>6.8175675675675675</v>
      </c>
      <c r="T26" s="45">
        <v>193398000</v>
      </c>
      <c r="U26" s="10" t="e">
        <f>T26/#REF!</f>
        <v>#REF!</v>
      </c>
      <c r="V26" s="46">
        <f t="shared" si="5"/>
        <v>286.92873293097614</v>
      </c>
      <c r="W26" s="19" t="s">
        <v>122</v>
      </c>
      <c r="X26" s="11" t="s">
        <v>106</v>
      </c>
    </row>
    <row r="27" spans="1:24" s="1" customFormat="1" ht="73.5" customHeight="1" thickBot="1">
      <c r="A27" s="30">
        <v>19</v>
      </c>
      <c r="B27" s="11">
        <v>26</v>
      </c>
      <c r="C27" s="31" t="s">
        <v>38</v>
      </c>
      <c r="D27" s="12">
        <v>671588</v>
      </c>
      <c r="E27" s="32">
        <v>287</v>
      </c>
      <c r="F27" s="11">
        <v>38</v>
      </c>
      <c r="G27" s="12">
        <v>965</v>
      </c>
      <c r="H27" s="12">
        <v>118</v>
      </c>
      <c r="I27" s="10">
        <f t="shared" si="0"/>
        <v>8.177966101694915</v>
      </c>
      <c r="J27" s="33">
        <f t="shared" si="1"/>
        <v>1.4368928569301418</v>
      </c>
      <c r="K27" s="33">
        <f>G27/E27</f>
        <v>3.362369337979094</v>
      </c>
      <c r="L27" s="45">
        <v>89472849</v>
      </c>
      <c r="M27" s="46">
        <f t="shared" si="2"/>
        <v>133.22580063967789</v>
      </c>
      <c r="N27" s="17"/>
      <c r="O27" s="12">
        <v>1637</v>
      </c>
      <c r="P27" s="12">
        <v>481.5</v>
      </c>
      <c r="Q27" s="10">
        <f t="shared" si="3"/>
        <v>3.399792315680166</v>
      </c>
      <c r="R27" s="26">
        <f t="shared" si="6"/>
        <v>2.437506328284603</v>
      </c>
      <c r="S27" s="10">
        <f t="shared" si="4"/>
        <v>5.70383275261324</v>
      </c>
      <c r="T27" s="45">
        <v>180158087</v>
      </c>
      <c r="U27" s="10" t="e">
        <f>T27/#REF!</f>
        <v>#REF!</v>
      </c>
      <c r="V27" s="46">
        <f t="shared" si="5"/>
        <v>268.25685837150155</v>
      </c>
      <c r="W27" s="19" t="s">
        <v>83</v>
      </c>
      <c r="X27" s="37" t="s">
        <v>105</v>
      </c>
    </row>
    <row r="28" spans="1:24" s="1" customFormat="1" ht="115.5" thickBot="1">
      <c r="A28" s="30">
        <v>20</v>
      </c>
      <c r="B28" s="11">
        <v>27</v>
      </c>
      <c r="C28" s="31" t="s">
        <v>47</v>
      </c>
      <c r="D28" s="12">
        <v>637455</v>
      </c>
      <c r="E28" s="35">
        <v>92.1</v>
      </c>
      <c r="F28" s="11">
        <v>39</v>
      </c>
      <c r="G28" s="12">
        <v>1751</v>
      </c>
      <c r="H28" s="12">
        <v>45</v>
      </c>
      <c r="I28" s="10">
        <f t="shared" si="0"/>
        <v>38.91111111111111</v>
      </c>
      <c r="J28" s="33">
        <f t="shared" si="1"/>
        <v>2.746860562706387</v>
      </c>
      <c r="K28" s="33">
        <f t="shared" si="7"/>
        <v>19.01194353963084</v>
      </c>
      <c r="L28" s="45">
        <f>133350091+10700000</f>
        <v>144050091</v>
      </c>
      <c r="M28" s="46">
        <f t="shared" si="2"/>
        <v>225.97687836788478</v>
      </c>
      <c r="N28" s="17"/>
      <c r="O28" s="12">
        <v>3102</v>
      </c>
      <c r="P28" s="12">
        <v>625</v>
      </c>
      <c r="Q28" s="10">
        <f t="shared" si="3"/>
        <v>4.9632</v>
      </c>
      <c r="R28" s="26">
        <f t="shared" si="6"/>
        <v>4.866225851236558</v>
      </c>
      <c r="S28" s="10">
        <f t="shared" si="4"/>
        <v>33.68078175895766</v>
      </c>
      <c r="T28" s="45">
        <v>297613951</v>
      </c>
      <c r="U28" s="10" t="e">
        <f>T28/#REF!</f>
        <v>#REF!</v>
      </c>
      <c r="V28" s="46">
        <f t="shared" si="5"/>
        <v>466.87836945353007</v>
      </c>
      <c r="W28" s="19" t="s">
        <v>84</v>
      </c>
      <c r="X28" s="37" t="s">
        <v>121</v>
      </c>
    </row>
    <row r="29" spans="1:24" s="1" customFormat="1" ht="79.5" thickBot="1">
      <c r="A29" s="30">
        <v>21</v>
      </c>
      <c r="B29" s="11">
        <v>23</v>
      </c>
      <c r="C29" s="31" t="s">
        <v>32</v>
      </c>
      <c r="D29" s="12">
        <v>606913</v>
      </c>
      <c r="E29" s="35">
        <v>250.9</v>
      </c>
      <c r="F29" s="11">
        <v>35</v>
      </c>
      <c r="G29" s="12">
        <f>874+20.84</f>
        <v>894.84</v>
      </c>
      <c r="H29" s="12">
        <f>81.4</f>
        <v>81.4</v>
      </c>
      <c r="I29" s="10">
        <f t="shared" si="0"/>
        <v>10.993120393120392</v>
      </c>
      <c r="J29" s="33">
        <f t="shared" si="1"/>
        <v>1.4744123128026587</v>
      </c>
      <c r="K29" s="33">
        <f aca="true" t="shared" si="8" ref="K29:K38">G29/E29</f>
        <v>3.5665205261060184</v>
      </c>
      <c r="L29" s="45">
        <v>68877904</v>
      </c>
      <c r="M29" s="46">
        <f t="shared" si="2"/>
        <v>113.48892510129129</v>
      </c>
      <c r="N29" s="17"/>
      <c r="O29" s="12">
        <v>1003.92</v>
      </c>
      <c r="P29" s="12">
        <v>378.49</v>
      </c>
      <c r="Q29" s="10">
        <f t="shared" si="3"/>
        <v>2.6524346746281275</v>
      </c>
      <c r="R29" s="26">
        <f t="shared" si="6"/>
        <v>1.6541415326414164</v>
      </c>
      <c r="S29" s="10">
        <f t="shared" si="4"/>
        <v>4.0012754085292945</v>
      </c>
      <c r="T29" s="45">
        <v>104934305</v>
      </c>
      <c r="U29" s="10" t="e">
        <f>T29/#REF!</f>
        <v>#REF!</v>
      </c>
      <c r="V29" s="46">
        <f t="shared" si="5"/>
        <v>172.898430252771</v>
      </c>
      <c r="W29" s="19" t="s">
        <v>85</v>
      </c>
      <c r="X29" s="11" t="s">
        <v>104</v>
      </c>
    </row>
    <row r="30" spans="1:24" s="1" customFormat="1" ht="57" thickBot="1">
      <c r="A30" s="30">
        <v>22</v>
      </c>
      <c r="B30" s="11">
        <v>20</v>
      </c>
      <c r="C30" s="31" t="s">
        <v>25</v>
      </c>
      <c r="D30" s="12">
        <v>602191</v>
      </c>
      <c r="E30" s="35">
        <v>96.1</v>
      </c>
      <c r="F30" s="11">
        <v>36</v>
      </c>
      <c r="G30" s="12">
        <v>1094</v>
      </c>
      <c r="H30" s="11">
        <v>49</v>
      </c>
      <c r="I30" s="10">
        <f t="shared" si="0"/>
        <v>22.3265306122449</v>
      </c>
      <c r="J30" s="33">
        <f t="shared" si="1"/>
        <v>1.8166993528631281</v>
      </c>
      <c r="K30" s="33">
        <f t="shared" si="8"/>
        <v>11.38397502601457</v>
      </c>
      <c r="L30" s="45">
        <v>97968286</v>
      </c>
      <c r="M30" s="46">
        <f t="shared" si="2"/>
        <v>162.68640016207482</v>
      </c>
      <c r="N30" s="17"/>
      <c r="O30" s="12">
        <v>1876</v>
      </c>
      <c r="P30" s="12">
        <v>854</v>
      </c>
      <c r="Q30" s="10">
        <f t="shared" si="3"/>
        <v>2.19672131147541</v>
      </c>
      <c r="R30" s="26">
        <f t="shared" si="6"/>
        <v>3.1152906635934445</v>
      </c>
      <c r="S30" s="10">
        <f t="shared" si="4"/>
        <v>19.5213319458897</v>
      </c>
      <c r="T30" s="45">
        <v>215487472</v>
      </c>
      <c r="U30" s="10" t="e">
        <f>T30/#REF!</f>
        <v>#REF!</v>
      </c>
      <c r="V30" s="46">
        <f t="shared" si="5"/>
        <v>357.83907763483677</v>
      </c>
      <c r="W30" s="19" t="s">
        <v>71</v>
      </c>
      <c r="X30" s="40" t="s">
        <v>103</v>
      </c>
    </row>
    <row r="31" spans="1:24" s="1" customFormat="1" ht="68.25" thickBot="1">
      <c r="A31" s="30">
        <v>23</v>
      </c>
      <c r="B31" s="11">
        <v>19</v>
      </c>
      <c r="C31" s="31" t="s">
        <v>14</v>
      </c>
      <c r="D31" s="12">
        <v>599351</v>
      </c>
      <c r="E31" s="35">
        <v>47.3</v>
      </c>
      <c r="F31" s="11">
        <v>35</v>
      </c>
      <c r="G31" s="12">
        <f>1681+351</f>
        <v>2032</v>
      </c>
      <c r="H31" s="12">
        <v>83</v>
      </c>
      <c r="I31" s="10">
        <f t="shared" si="0"/>
        <v>24.481927710843372</v>
      </c>
      <c r="J31" s="33">
        <f t="shared" si="1"/>
        <v>3.3903338778111656</v>
      </c>
      <c r="K31" s="33">
        <f t="shared" si="8"/>
        <v>42.959830866807614</v>
      </c>
      <c r="L31" s="45">
        <f>159616291+111378669</f>
        <v>270994960</v>
      </c>
      <c r="M31" s="46">
        <f t="shared" si="2"/>
        <v>452.14733937208746</v>
      </c>
      <c r="N31" s="17"/>
      <c r="O31" s="12">
        <v>2363</v>
      </c>
      <c r="P31" s="12">
        <v>863</v>
      </c>
      <c r="Q31" s="10">
        <f t="shared" si="3"/>
        <v>2.7381228273464657</v>
      </c>
      <c r="R31" s="26">
        <f t="shared" si="6"/>
        <v>3.942597910072729</v>
      </c>
      <c r="S31" s="10">
        <f t="shared" si="4"/>
        <v>49.957716701902754</v>
      </c>
      <c r="T31" s="45">
        <v>268341282</v>
      </c>
      <c r="U31" s="10" t="e">
        <f>T31/#REF!</f>
        <v>#REF!</v>
      </c>
      <c r="V31" s="46">
        <f t="shared" si="5"/>
        <v>447.7197535334053</v>
      </c>
      <c r="W31" s="19" t="s">
        <v>109</v>
      </c>
      <c r="X31" s="40" t="s">
        <v>108</v>
      </c>
    </row>
    <row r="32" spans="1:24" s="1" customFormat="1" ht="27.75" customHeight="1" thickBot="1">
      <c r="A32" s="30">
        <v>24</v>
      </c>
      <c r="B32" s="11">
        <v>24</v>
      </c>
      <c r="C32" s="31" t="s">
        <v>33</v>
      </c>
      <c r="D32" s="12">
        <v>594210</v>
      </c>
      <c r="E32" s="35">
        <v>83.9</v>
      </c>
      <c r="F32" s="11">
        <v>33</v>
      </c>
      <c r="G32" s="12">
        <v>1084</v>
      </c>
      <c r="H32" s="12">
        <v>74</v>
      </c>
      <c r="I32" s="10">
        <f t="shared" si="0"/>
        <v>14.64864864864865</v>
      </c>
      <c r="J32" s="33">
        <f t="shared" si="1"/>
        <v>1.8242708806650847</v>
      </c>
      <c r="K32" s="33">
        <f t="shared" si="8"/>
        <v>12.920143027413587</v>
      </c>
      <c r="L32" s="45">
        <v>147217389</v>
      </c>
      <c r="M32" s="46">
        <f t="shared" si="2"/>
        <v>247.75313273085274</v>
      </c>
      <c r="N32" s="17"/>
      <c r="O32" s="12">
        <v>1326</v>
      </c>
      <c r="P32" s="12">
        <v>547</v>
      </c>
      <c r="Q32" s="10">
        <f t="shared" si="3"/>
        <v>2.424131627056673</v>
      </c>
      <c r="R32" s="26">
        <f t="shared" si="6"/>
        <v>2.2315343060534154</v>
      </c>
      <c r="S32" s="10">
        <f t="shared" si="4"/>
        <v>15.804529201430274</v>
      </c>
      <c r="T32" s="45">
        <v>216681234</v>
      </c>
      <c r="U32" s="10" t="e">
        <f>T32/#REF!</f>
        <v>#REF!</v>
      </c>
      <c r="V32" s="46">
        <f t="shared" si="5"/>
        <v>364.6543040339274</v>
      </c>
      <c r="W32" s="10"/>
      <c r="X32" s="40" t="s">
        <v>102</v>
      </c>
    </row>
    <row r="33" spans="1:24" s="1" customFormat="1" ht="92.25" customHeight="1" thickBot="1">
      <c r="A33" s="30">
        <v>25</v>
      </c>
      <c r="B33" s="11">
        <v>22</v>
      </c>
      <c r="C33" s="36" t="s">
        <v>75</v>
      </c>
      <c r="D33" s="12">
        <v>590807</v>
      </c>
      <c r="E33" s="35">
        <v>533</v>
      </c>
      <c r="F33" s="11">
        <v>38</v>
      </c>
      <c r="G33" s="12">
        <v>1139</v>
      </c>
      <c r="H33" s="11">
        <v>43</v>
      </c>
      <c r="I33" s="10">
        <f t="shared" si="0"/>
        <v>26.488372093023255</v>
      </c>
      <c r="J33" s="33">
        <f t="shared" si="1"/>
        <v>1.9278715384211764</v>
      </c>
      <c r="K33" s="33">
        <f t="shared" si="8"/>
        <v>2.1369606003752346</v>
      </c>
      <c r="L33" s="45">
        <v>114872700</v>
      </c>
      <c r="M33" s="46">
        <f t="shared" si="2"/>
        <v>194.4335459803286</v>
      </c>
      <c r="N33" s="17"/>
      <c r="O33" s="12">
        <v>1305</v>
      </c>
      <c r="P33" s="12">
        <v>391</v>
      </c>
      <c r="Q33" s="10">
        <f t="shared" si="3"/>
        <v>3.337595907928389</v>
      </c>
      <c r="R33" s="26">
        <f t="shared" si="6"/>
        <v>2.208843158594939</v>
      </c>
      <c r="S33" s="10">
        <f t="shared" si="4"/>
        <v>2.448405253283302</v>
      </c>
      <c r="T33" s="45">
        <v>151218400</v>
      </c>
      <c r="U33" s="10" t="e">
        <f>T33/#REF!</f>
        <v>#REF!</v>
      </c>
      <c r="V33" s="46">
        <f t="shared" si="5"/>
        <v>255.95228221737386</v>
      </c>
      <c r="W33" s="20" t="s">
        <v>77</v>
      </c>
      <c r="X33" s="38" t="s">
        <v>110</v>
      </c>
    </row>
    <row r="34" spans="1:24" s="1" customFormat="1" ht="13.5" hidden="1" thickBot="1">
      <c r="A34" s="30">
        <v>26</v>
      </c>
      <c r="B34" s="11">
        <v>25</v>
      </c>
      <c r="C34" s="31" t="s">
        <v>34</v>
      </c>
      <c r="D34" s="12">
        <v>556835</v>
      </c>
      <c r="E34" s="11">
        <v>155</v>
      </c>
      <c r="F34" s="11">
        <v>32</v>
      </c>
      <c r="G34" s="12">
        <v>914</v>
      </c>
      <c r="H34" s="12">
        <v>41</v>
      </c>
      <c r="I34" s="10">
        <f t="shared" si="0"/>
        <v>22.29268292682927</v>
      </c>
      <c r="J34" s="33">
        <f t="shared" si="1"/>
        <v>1.641419810177162</v>
      </c>
      <c r="K34" s="33">
        <f t="shared" si="8"/>
        <v>5.896774193548387</v>
      </c>
      <c r="L34" s="45">
        <v>88538300</v>
      </c>
      <c r="M34" s="46">
        <f t="shared" si="2"/>
        <v>159.00275665143175</v>
      </c>
      <c r="N34" s="17"/>
      <c r="O34" s="12">
        <f>1427+135</f>
        <v>1562</v>
      </c>
      <c r="P34" s="12">
        <v>343</v>
      </c>
      <c r="Q34" s="10">
        <f t="shared" si="3"/>
        <v>4.553935860058309</v>
      </c>
      <c r="R34" s="26">
        <f t="shared" si="6"/>
        <v>2.805139763125522</v>
      </c>
      <c r="S34" s="10">
        <f t="shared" si="4"/>
        <v>10.07741935483871</v>
      </c>
      <c r="T34" s="45">
        <v>168796380</v>
      </c>
      <c r="U34" s="10" t="e">
        <f>T34/#REF!</f>
        <v>#REF!</v>
      </c>
      <c r="V34" s="46">
        <f t="shared" si="5"/>
        <v>303.13536325841585</v>
      </c>
      <c r="W34" s="10"/>
      <c r="X34" s="11" t="s">
        <v>30</v>
      </c>
    </row>
    <row r="35" spans="1:24" s="1" customFormat="1" ht="13.5" hidden="1" thickBot="1">
      <c r="A35" s="30">
        <v>27</v>
      </c>
      <c r="B35" s="11">
        <v>21</v>
      </c>
      <c r="C35" s="31" t="s">
        <v>31</v>
      </c>
      <c r="D35" s="12">
        <v>553523</v>
      </c>
      <c r="E35" s="11">
        <v>62</v>
      </c>
      <c r="F35" s="11">
        <v>34</v>
      </c>
      <c r="G35" s="12">
        <f>1426+342</f>
        <v>1768</v>
      </c>
      <c r="H35" s="12">
        <v>292</v>
      </c>
      <c r="I35" s="10">
        <f t="shared" si="0"/>
        <v>6.054794520547945</v>
      </c>
      <c r="J35" s="33">
        <f t="shared" si="1"/>
        <v>3.1940858826101173</v>
      </c>
      <c r="K35" s="33">
        <f t="shared" si="8"/>
        <v>28.516129032258064</v>
      </c>
      <c r="L35" s="45">
        <v>156257000</v>
      </c>
      <c r="M35" s="46">
        <f t="shared" si="2"/>
        <v>282.2954059722902</v>
      </c>
      <c r="N35" s="17"/>
      <c r="O35" s="12">
        <v>3800</v>
      </c>
      <c r="P35" s="12">
        <v>680</v>
      </c>
      <c r="Q35" s="10">
        <f t="shared" si="3"/>
        <v>5.588235294117647</v>
      </c>
      <c r="R35" s="26">
        <f t="shared" si="6"/>
        <v>6.86511671601722</v>
      </c>
      <c r="S35" s="10">
        <f t="shared" si="4"/>
        <v>61.29032258064516</v>
      </c>
      <c r="T35" s="45">
        <v>371333000</v>
      </c>
      <c r="U35" s="10" t="e">
        <f>T35/#REF!</f>
        <v>#REF!</v>
      </c>
      <c r="V35" s="46">
        <f t="shared" si="5"/>
        <v>670.8537856602164</v>
      </c>
      <c r="W35" s="10"/>
      <c r="X35" s="11" t="s">
        <v>30</v>
      </c>
    </row>
    <row r="36" spans="1:24" s="1" customFormat="1" ht="34.5" thickBot="1">
      <c r="A36" s="30">
        <v>40</v>
      </c>
      <c r="B36" s="11">
        <v>33</v>
      </c>
      <c r="C36" s="31" t="s">
        <v>24</v>
      </c>
      <c r="D36" s="12">
        <v>438042</v>
      </c>
      <c r="E36" s="32">
        <v>77</v>
      </c>
      <c r="F36" s="11">
        <v>27</v>
      </c>
      <c r="G36" s="12">
        <v>1181</v>
      </c>
      <c r="H36" s="12">
        <v>14</v>
      </c>
      <c r="I36" s="10">
        <f t="shared" si="0"/>
        <v>84.35714285714286</v>
      </c>
      <c r="J36" s="33">
        <f t="shared" si="1"/>
        <v>2.696088502928943</v>
      </c>
      <c r="K36" s="33">
        <f t="shared" si="8"/>
        <v>15.337662337662337</v>
      </c>
      <c r="L36" s="45">
        <f>90520000+23530000</f>
        <v>114050000</v>
      </c>
      <c r="M36" s="46">
        <f t="shared" si="2"/>
        <v>260.36316152332427</v>
      </c>
      <c r="N36" s="17"/>
      <c r="O36" s="12">
        <v>1645</v>
      </c>
      <c r="P36" s="12">
        <v>268</v>
      </c>
      <c r="Q36" s="10">
        <f t="shared" si="3"/>
        <v>6.138059701492537</v>
      </c>
      <c r="R36" s="26">
        <f t="shared" si="6"/>
        <v>3.7553476607265974</v>
      </c>
      <c r="S36" s="10">
        <f t="shared" si="4"/>
        <v>21.363636363636363</v>
      </c>
      <c r="T36" s="45">
        <v>176943000</v>
      </c>
      <c r="U36" s="10" t="e">
        <f>T36/#REF!</f>
        <v>#REF!</v>
      </c>
      <c r="V36" s="46">
        <f t="shared" si="5"/>
        <v>403.9407180133412</v>
      </c>
      <c r="W36" s="19" t="s">
        <v>72</v>
      </c>
      <c r="X36" s="11" t="s">
        <v>101</v>
      </c>
    </row>
    <row r="37" spans="1:24" s="1" customFormat="1" ht="28.5" customHeight="1" thickBot="1">
      <c r="A37" s="30">
        <v>56</v>
      </c>
      <c r="B37" s="11">
        <v>53</v>
      </c>
      <c r="C37" s="31" t="s">
        <v>16</v>
      </c>
      <c r="D37" s="12">
        <v>332458</v>
      </c>
      <c r="E37" s="35">
        <v>78.6</v>
      </c>
      <c r="F37" s="11">
        <v>26</v>
      </c>
      <c r="G37" s="12">
        <v>787</v>
      </c>
      <c r="H37" s="12">
        <f>892-G37</f>
        <v>105</v>
      </c>
      <c r="I37" s="10">
        <f t="shared" si="0"/>
        <v>7.495238095238095</v>
      </c>
      <c r="J37" s="33">
        <f t="shared" si="1"/>
        <v>2.367216310030139</v>
      </c>
      <c r="K37" s="33">
        <f t="shared" si="8"/>
        <v>10.012722646310433</v>
      </c>
      <c r="L37" s="45">
        <f>66670390+23547240</f>
        <v>90217630</v>
      </c>
      <c r="M37" s="46">
        <f t="shared" si="2"/>
        <v>271.3654957919497</v>
      </c>
      <c r="N37" s="17"/>
      <c r="O37" s="12">
        <v>1140</v>
      </c>
      <c r="P37" s="12">
        <f>1442.5-O37</f>
        <v>302.5</v>
      </c>
      <c r="Q37" s="10">
        <f t="shared" si="3"/>
        <v>3.768595041322314</v>
      </c>
      <c r="R37" s="26">
        <f t="shared" si="6"/>
        <v>3.42900456599029</v>
      </c>
      <c r="S37" s="10">
        <f t="shared" si="4"/>
        <v>14.503816793893131</v>
      </c>
      <c r="T37" s="45">
        <f>101117140+36518750</f>
        <v>137635890</v>
      </c>
      <c r="U37" s="10" t="e">
        <f>T37/#REF!</f>
        <v>#REF!</v>
      </c>
      <c r="V37" s="46">
        <f t="shared" si="5"/>
        <v>413.99482039836613</v>
      </c>
      <c r="W37" s="10"/>
      <c r="X37" s="39" t="s">
        <v>100</v>
      </c>
    </row>
    <row r="38" spans="1:24" s="1" customFormat="1" ht="34.5" thickBot="1">
      <c r="A38" s="30">
        <v>59</v>
      </c>
      <c r="B38" s="11">
        <v>55</v>
      </c>
      <c r="C38" s="31" t="s">
        <v>15</v>
      </c>
      <c r="D38" s="34">
        <v>311218</v>
      </c>
      <c r="E38" s="35">
        <v>55.5</v>
      </c>
      <c r="F38" s="11">
        <v>29</v>
      </c>
      <c r="G38" s="12">
        <v>830</v>
      </c>
      <c r="H38" s="12">
        <f>15+6</f>
        <v>21</v>
      </c>
      <c r="I38" s="10">
        <f t="shared" si="0"/>
        <v>39.523809523809526</v>
      </c>
      <c r="J38" s="33">
        <f t="shared" si="1"/>
        <v>2.6669408581765834</v>
      </c>
      <c r="K38" s="33">
        <f t="shared" si="8"/>
        <v>14.954954954954955</v>
      </c>
      <c r="L38" s="45">
        <v>61563156</v>
      </c>
      <c r="M38" s="46">
        <f t="shared" si="2"/>
        <v>197.81360975264926</v>
      </c>
      <c r="N38" s="17"/>
      <c r="O38" s="12">
        <v>917</v>
      </c>
      <c r="P38" s="12">
        <v>202</v>
      </c>
      <c r="Q38" s="10">
        <f t="shared" si="3"/>
        <v>4.53960396039604</v>
      </c>
      <c r="R38" s="26">
        <f t="shared" si="6"/>
        <v>2.946487671021599</v>
      </c>
      <c r="S38" s="10">
        <f t="shared" si="4"/>
        <v>16.52252252252252</v>
      </c>
      <c r="T38" s="45">
        <v>66669518</v>
      </c>
      <c r="U38" s="10" t="e">
        <f>T38/#REF!</f>
        <v>#REF!</v>
      </c>
      <c r="V38" s="46">
        <f t="shared" si="5"/>
        <v>214.2212789748665</v>
      </c>
      <c r="W38" s="19" t="s">
        <v>73</v>
      </c>
      <c r="X38" s="39" t="s">
        <v>99</v>
      </c>
    </row>
    <row r="40" spans="1:19" ht="12.75">
      <c r="A40" s="4"/>
      <c r="B40" t="s">
        <v>41</v>
      </c>
      <c r="S40" s="21"/>
    </row>
    <row r="41" ht="12.75">
      <c r="B41" t="s">
        <v>17</v>
      </c>
    </row>
    <row r="42" ht="12.75">
      <c r="B42" t="s">
        <v>18</v>
      </c>
    </row>
    <row r="44" ht="12.75">
      <c r="B44" s="2" t="s">
        <v>23</v>
      </c>
    </row>
    <row r="45" ht="12.75">
      <c r="B45" t="s">
        <v>20</v>
      </c>
    </row>
    <row r="46" ht="12.75">
      <c r="B46" t="s">
        <v>21</v>
      </c>
    </row>
    <row r="47" ht="12.75">
      <c r="B47" t="s">
        <v>22</v>
      </c>
    </row>
    <row r="48" ht="12.75">
      <c r="B48" t="s">
        <v>27</v>
      </c>
    </row>
    <row r="49" ht="12.75">
      <c r="B49" t="s">
        <v>28</v>
      </c>
    </row>
    <row r="50" ht="12.75">
      <c r="B50" t="s">
        <v>44</v>
      </c>
    </row>
    <row r="51" ht="12.75">
      <c r="B51" t="s">
        <v>29</v>
      </c>
    </row>
    <row r="52" ht="12.75">
      <c r="B52" t="s">
        <v>46</v>
      </c>
    </row>
    <row r="53" ht="12.75">
      <c r="B53" t="s">
        <v>45</v>
      </c>
    </row>
    <row r="54" ht="12.75">
      <c r="B54" t="s">
        <v>36</v>
      </c>
    </row>
    <row r="55" ht="12.75">
      <c r="B55" t="s">
        <v>37</v>
      </c>
    </row>
    <row r="58" ht="12.75">
      <c r="L58" s="52"/>
    </row>
  </sheetData>
  <sheetProtection/>
  <mergeCells count="3">
    <mergeCell ref="O7:V7"/>
    <mergeCell ref="A4:D5"/>
    <mergeCell ref="F7:M7"/>
  </mergeCells>
  <printOptions gridLines="1"/>
  <pageMargins left="0" right="0" top="1" bottom="1" header="0.5" footer="0.5"/>
  <pageSetup fitToHeight="2" fitToWidth="1" horizontalDpi="600" verticalDpi="600" orientation="landscape" paperSize="17" scale="7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0" sqref="A20:IV20"/>
    </sheetView>
  </sheetViews>
  <sheetFormatPr defaultColWidth="9.140625" defaultRowHeight="12.75"/>
  <cols>
    <col min="1" max="1" width="13.57421875" style="57" customWidth="1"/>
    <col min="2" max="2" width="0" style="57" hidden="1" customWidth="1"/>
    <col min="3" max="3" width="13.00390625" style="57" customWidth="1"/>
    <col min="4" max="4" width="6.00390625" style="57" customWidth="1"/>
    <col min="5" max="5" width="11.8515625" style="57" bestFit="1" customWidth="1"/>
    <col min="6" max="7" width="0" style="57" hidden="1" customWidth="1"/>
    <col min="8" max="8" width="7.7109375" style="57" bestFit="1" customWidth="1"/>
    <col min="9" max="9" width="9.140625" style="57" customWidth="1"/>
    <col min="10" max="10" width="10.421875" style="57" bestFit="1" customWidth="1"/>
    <col min="11" max="11" width="12.7109375" style="57" bestFit="1" customWidth="1"/>
    <col min="12" max="12" width="0" style="57" hidden="1" customWidth="1"/>
    <col min="13" max="13" width="13.28125" style="57" bestFit="1" customWidth="1"/>
    <col min="14" max="14" width="12.28125" style="57" customWidth="1"/>
    <col min="15" max="15" width="13.8515625" style="57" customWidth="1"/>
    <col min="16" max="16" width="26.8515625" style="57" customWidth="1"/>
    <col min="17" max="17" width="31.57421875" style="57" customWidth="1"/>
    <col min="18" max="16384" width="9.140625" style="57" customWidth="1"/>
  </cols>
  <sheetData>
    <row r="1" spans="1:17" ht="30.75" customHeight="1" thickBot="1">
      <c r="A1" s="123" t="s">
        <v>138</v>
      </c>
      <c r="B1" s="124"/>
      <c r="C1" s="124"/>
      <c r="D1" s="124"/>
      <c r="E1" s="124"/>
      <c r="F1" s="124"/>
      <c r="G1" s="124"/>
      <c r="H1" s="124"/>
      <c r="I1" s="124"/>
      <c r="J1" s="124"/>
      <c r="K1" s="124"/>
      <c r="L1" s="124"/>
      <c r="M1" s="124"/>
      <c r="N1" s="124"/>
      <c r="O1" s="124"/>
      <c r="P1" s="124"/>
      <c r="Q1" s="125"/>
    </row>
    <row r="2" spans="1:17" ht="69" customHeight="1" thickBot="1">
      <c r="A2" s="72" t="s">
        <v>2</v>
      </c>
      <c r="B2" s="16" t="s">
        <v>11</v>
      </c>
      <c r="C2" s="9" t="s">
        <v>139</v>
      </c>
      <c r="D2" s="9" t="s">
        <v>140</v>
      </c>
      <c r="E2" s="9" t="s">
        <v>74</v>
      </c>
      <c r="F2" s="9" t="s">
        <v>51</v>
      </c>
      <c r="G2" s="15" t="s">
        <v>50</v>
      </c>
      <c r="H2" s="9" t="s">
        <v>52</v>
      </c>
      <c r="I2" s="9" t="s">
        <v>143</v>
      </c>
      <c r="J2" s="9" t="s">
        <v>66</v>
      </c>
      <c r="K2" s="9" t="s">
        <v>120</v>
      </c>
      <c r="L2" s="9" t="s">
        <v>19</v>
      </c>
      <c r="M2" s="9" t="s">
        <v>165</v>
      </c>
      <c r="N2" s="9" t="s">
        <v>58</v>
      </c>
      <c r="O2" s="9" t="s">
        <v>55</v>
      </c>
      <c r="P2" s="9" t="s">
        <v>60</v>
      </c>
      <c r="Q2" s="9" t="s">
        <v>80</v>
      </c>
    </row>
    <row r="3" spans="1:17" ht="54.75" customHeight="1">
      <c r="A3" s="73" t="s">
        <v>14</v>
      </c>
      <c r="B3" s="89">
        <v>19</v>
      </c>
      <c r="C3" s="97">
        <f aca="true" t="shared" si="0" ref="C3:C27">O3/E3</f>
        <v>452.14733937208746</v>
      </c>
      <c r="D3" s="70">
        <v>23</v>
      </c>
      <c r="E3" s="59">
        <v>599351</v>
      </c>
      <c r="F3" s="59">
        <v>589141</v>
      </c>
      <c r="G3" s="59">
        <v>574283</v>
      </c>
      <c r="H3" s="88">
        <v>47.3</v>
      </c>
      <c r="I3" s="58">
        <v>35</v>
      </c>
      <c r="J3" s="59">
        <f>1681+351</f>
        <v>2032</v>
      </c>
      <c r="K3" s="59">
        <v>83</v>
      </c>
      <c r="L3" s="60">
        <f aca="true" t="shared" si="1" ref="L3:L27">J3/K3</f>
        <v>24.481927710843372</v>
      </c>
      <c r="M3" s="61">
        <f aca="true" t="shared" si="2" ref="M3:M27">J3/(E3/1000)</f>
        <v>3.3903338778111656</v>
      </c>
      <c r="N3" s="61">
        <f aca="true" t="shared" si="3" ref="N3:N27">J3/H3</f>
        <v>42.959830866807614</v>
      </c>
      <c r="O3" s="62">
        <f>159616291+111378669</f>
        <v>270994960</v>
      </c>
      <c r="P3" s="56" t="s">
        <v>109</v>
      </c>
      <c r="Q3" s="74" t="s">
        <v>108</v>
      </c>
    </row>
    <row r="4" spans="1:17" ht="34.5" customHeight="1">
      <c r="A4" s="75" t="s">
        <v>42</v>
      </c>
      <c r="B4" s="90">
        <v>13</v>
      </c>
      <c r="C4" s="91">
        <f t="shared" si="0"/>
        <v>315.8064187634645</v>
      </c>
      <c r="D4" s="71">
        <v>14</v>
      </c>
      <c r="E4" s="64">
        <v>764976</v>
      </c>
      <c r="F4" s="64">
        <v>776733</v>
      </c>
      <c r="G4" s="64">
        <v>723959</v>
      </c>
      <c r="H4" s="37">
        <v>49</v>
      </c>
      <c r="I4" s="37">
        <v>42</v>
      </c>
      <c r="J4" s="64">
        <v>1650</v>
      </c>
      <c r="K4" s="64">
        <v>77</v>
      </c>
      <c r="L4" s="65">
        <f t="shared" si="1"/>
        <v>21.428571428571427</v>
      </c>
      <c r="M4" s="66">
        <f t="shared" si="2"/>
        <v>2.1569304135031686</v>
      </c>
      <c r="N4" s="66">
        <f t="shared" si="3"/>
        <v>33.673469387755105</v>
      </c>
      <c r="O4" s="67">
        <v>241584331</v>
      </c>
      <c r="P4" s="19" t="s">
        <v>69</v>
      </c>
      <c r="Q4" s="74" t="s">
        <v>97</v>
      </c>
    </row>
    <row r="5" spans="1:17" ht="22.5">
      <c r="A5" s="75" t="s">
        <v>12</v>
      </c>
      <c r="B5" s="90">
        <v>15</v>
      </c>
      <c r="C5" s="91">
        <f t="shared" si="0"/>
        <v>255.69654365400433</v>
      </c>
      <c r="D5" s="71">
        <v>15</v>
      </c>
      <c r="E5" s="64">
        <v>747755</v>
      </c>
      <c r="F5" s="64">
        <v>711470</v>
      </c>
      <c r="G5" s="64">
        <v>632910</v>
      </c>
      <c r="H5" s="37">
        <v>227</v>
      </c>
      <c r="I5" s="37">
        <v>32</v>
      </c>
      <c r="J5" s="64">
        <v>1550</v>
      </c>
      <c r="K5" s="64">
        <v>51</v>
      </c>
      <c r="L5" s="65">
        <f t="shared" si="1"/>
        <v>30.392156862745097</v>
      </c>
      <c r="M5" s="66">
        <f t="shared" si="2"/>
        <v>2.0728714619093154</v>
      </c>
      <c r="N5" s="66">
        <f t="shared" si="3"/>
        <v>6.828193832599119</v>
      </c>
      <c r="O5" s="67">
        <v>191198369</v>
      </c>
      <c r="P5" s="55"/>
      <c r="Q5" s="74" t="s">
        <v>98</v>
      </c>
    </row>
    <row r="6" spans="1:17" ht="33.75">
      <c r="A6" s="75" t="s">
        <v>33</v>
      </c>
      <c r="B6" s="90">
        <v>24</v>
      </c>
      <c r="C6" s="91">
        <f t="shared" si="0"/>
        <v>247.75313273085274</v>
      </c>
      <c r="D6" s="71">
        <v>24</v>
      </c>
      <c r="E6" s="64">
        <v>594210</v>
      </c>
      <c r="F6" s="64">
        <v>563374</v>
      </c>
      <c r="G6" s="64">
        <v>516259</v>
      </c>
      <c r="H6" s="87">
        <v>83.9</v>
      </c>
      <c r="I6" s="37">
        <v>33</v>
      </c>
      <c r="J6" s="64">
        <v>1084</v>
      </c>
      <c r="K6" s="64">
        <v>74</v>
      </c>
      <c r="L6" s="65">
        <f t="shared" si="1"/>
        <v>14.64864864864865</v>
      </c>
      <c r="M6" s="66">
        <f t="shared" si="2"/>
        <v>1.8242708806650847</v>
      </c>
      <c r="N6" s="66">
        <f t="shared" si="3"/>
        <v>12.920143027413587</v>
      </c>
      <c r="O6" s="67">
        <v>147217389</v>
      </c>
      <c r="P6" s="55"/>
      <c r="Q6" s="74" t="s">
        <v>102</v>
      </c>
    </row>
    <row r="7" spans="1:17" ht="136.5" customHeight="1">
      <c r="A7" s="93" t="s">
        <v>47</v>
      </c>
      <c r="B7" s="92">
        <v>27</v>
      </c>
      <c r="C7" s="63">
        <f t="shared" si="0"/>
        <v>225.97687836788478</v>
      </c>
      <c r="D7" s="71">
        <v>20</v>
      </c>
      <c r="E7" s="64">
        <v>637455</v>
      </c>
      <c r="F7" s="64">
        <v>651154</v>
      </c>
      <c r="G7" s="64">
        <v>736014</v>
      </c>
      <c r="H7" s="87">
        <v>92.1</v>
      </c>
      <c r="I7" s="37">
        <v>39</v>
      </c>
      <c r="J7" s="64">
        <v>1751</v>
      </c>
      <c r="K7" s="64">
        <v>45</v>
      </c>
      <c r="L7" s="65">
        <f t="shared" si="1"/>
        <v>38.91111111111111</v>
      </c>
      <c r="M7" s="66">
        <f t="shared" si="2"/>
        <v>2.746860562706387</v>
      </c>
      <c r="N7" s="66">
        <f t="shared" si="3"/>
        <v>19.01194353963084</v>
      </c>
      <c r="O7" s="67">
        <f>133350091+10700000</f>
        <v>144050091</v>
      </c>
      <c r="P7" s="19"/>
      <c r="Q7" s="76" t="s">
        <v>121</v>
      </c>
    </row>
    <row r="8" spans="1:17" ht="45.75" customHeight="1">
      <c r="A8" s="75" t="s">
        <v>26</v>
      </c>
      <c r="B8" s="90">
        <v>18</v>
      </c>
      <c r="C8" s="91">
        <f t="shared" si="0"/>
        <v>220.2176022361089</v>
      </c>
      <c r="D8" s="71">
        <v>18</v>
      </c>
      <c r="E8" s="64">
        <v>674028</v>
      </c>
      <c r="F8" s="64">
        <v>650100</v>
      </c>
      <c r="G8" s="64">
        <v>610337</v>
      </c>
      <c r="H8" s="37">
        <v>296</v>
      </c>
      <c r="I8" s="37">
        <v>56</v>
      </c>
      <c r="J8" s="64">
        <v>1654</v>
      </c>
      <c r="K8" s="37">
        <v>235</v>
      </c>
      <c r="L8" s="65">
        <f t="shared" si="1"/>
        <v>7.038297872340426</v>
      </c>
      <c r="M8" s="66">
        <f t="shared" si="2"/>
        <v>2.4539039921190215</v>
      </c>
      <c r="N8" s="66">
        <f t="shared" si="3"/>
        <v>5.587837837837838</v>
      </c>
      <c r="O8" s="67">
        <v>148432830</v>
      </c>
      <c r="P8" s="19" t="s">
        <v>124</v>
      </c>
      <c r="Q8" s="74" t="s">
        <v>106</v>
      </c>
    </row>
    <row r="9" spans="1:17" ht="25.5" customHeight="1">
      <c r="A9" s="75" t="s">
        <v>8</v>
      </c>
      <c r="B9" s="90">
        <v>10</v>
      </c>
      <c r="C9" s="91">
        <f t="shared" si="0"/>
        <v>201.53933793699125</v>
      </c>
      <c r="D9" s="71">
        <v>11</v>
      </c>
      <c r="E9" s="64">
        <v>916952</v>
      </c>
      <c r="F9" s="64">
        <v>951270</v>
      </c>
      <c r="G9" s="64">
        <v>1027974</v>
      </c>
      <c r="H9" s="37">
        <v>140</v>
      </c>
      <c r="I9" s="37">
        <v>46</v>
      </c>
      <c r="J9" s="64">
        <f>1171+308</f>
        <v>1479</v>
      </c>
      <c r="K9" s="64">
        <v>56</v>
      </c>
      <c r="L9" s="65">
        <f t="shared" si="1"/>
        <v>26.410714285714285</v>
      </c>
      <c r="M9" s="66">
        <f t="shared" si="2"/>
        <v>1.612952477337963</v>
      </c>
      <c r="N9" s="66">
        <f t="shared" si="3"/>
        <v>10.564285714285715</v>
      </c>
      <c r="O9" s="67">
        <v>184801899</v>
      </c>
      <c r="P9" s="19" t="s">
        <v>125</v>
      </c>
      <c r="Q9" s="74" t="s">
        <v>96</v>
      </c>
    </row>
    <row r="10" spans="1:17" ht="81" customHeight="1">
      <c r="A10" s="93" t="s">
        <v>75</v>
      </c>
      <c r="B10" s="92">
        <v>22</v>
      </c>
      <c r="C10" s="63">
        <f t="shared" si="0"/>
        <v>194.4335459803286</v>
      </c>
      <c r="D10" s="71">
        <v>25</v>
      </c>
      <c r="E10" s="64">
        <v>590807</v>
      </c>
      <c r="F10" s="64">
        <v>572059</v>
      </c>
      <c r="G10" s="64">
        <v>606900</v>
      </c>
      <c r="H10" s="87">
        <v>533</v>
      </c>
      <c r="I10" s="37">
        <v>38</v>
      </c>
      <c r="J10" s="64">
        <v>1139</v>
      </c>
      <c r="K10" s="37">
        <v>43</v>
      </c>
      <c r="L10" s="65">
        <f t="shared" si="1"/>
        <v>26.488372093023255</v>
      </c>
      <c r="M10" s="66">
        <f t="shared" si="2"/>
        <v>1.9278715384211764</v>
      </c>
      <c r="N10" s="66">
        <f t="shared" si="3"/>
        <v>2.1369606003752346</v>
      </c>
      <c r="O10" s="67">
        <v>114872700</v>
      </c>
      <c r="P10" s="38" t="s">
        <v>77</v>
      </c>
      <c r="Q10" s="76" t="s">
        <v>126</v>
      </c>
    </row>
    <row r="11" spans="1:17" ht="56.25" customHeight="1">
      <c r="A11" s="93" t="s">
        <v>5</v>
      </c>
      <c r="B11" s="92">
        <v>6</v>
      </c>
      <c r="C11" s="63">
        <f t="shared" si="0"/>
        <v>187.63045154845983</v>
      </c>
      <c r="D11" s="71">
        <v>6</v>
      </c>
      <c r="E11" s="64">
        <v>1449634</v>
      </c>
      <c r="F11" s="64">
        <v>1517550</v>
      </c>
      <c r="G11" s="64">
        <v>1585577</v>
      </c>
      <c r="H11" s="37">
        <v>135</v>
      </c>
      <c r="I11" s="37">
        <v>62</v>
      </c>
      <c r="J11" s="64">
        <v>2315</v>
      </c>
      <c r="K11" s="64">
        <v>110</v>
      </c>
      <c r="L11" s="65">
        <f t="shared" si="1"/>
        <v>21.045454545454547</v>
      </c>
      <c r="M11" s="66">
        <f t="shared" si="2"/>
        <v>1.5969548175608463</v>
      </c>
      <c r="N11" s="66">
        <f t="shared" si="3"/>
        <v>17.14814814814815</v>
      </c>
      <c r="O11" s="67">
        <f>190107667+81887815</f>
        <v>271995482</v>
      </c>
      <c r="P11" s="55" t="s">
        <v>127</v>
      </c>
      <c r="Q11" s="77" t="s">
        <v>116</v>
      </c>
    </row>
    <row r="12" spans="1:17" ht="33.75">
      <c r="A12" s="93" t="s">
        <v>65</v>
      </c>
      <c r="B12" s="92">
        <v>12</v>
      </c>
      <c r="C12" s="63">
        <f t="shared" si="0"/>
        <v>179.98586279876614</v>
      </c>
      <c r="D12" s="71">
        <v>12</v>
      </c>
      <c r="E12" s="64">
        <v>805605</v>
      </c>
      <c r="F12" s="64">
        <v>735617</v>
      </c>
      <c r="G12" s="64">
        <v>635230</v>
      </c>
      <c r="H12" s="37">
        <v>841</v>
      </c>
      <c r="I12" s="37">
        <v>56</v>
      </c>
      <c r="J12" s="64">
        <v>1234</v>
      </c>
      <c r="K12" s="64">
        <v>75</v>
      </c>
      <c r="L12" s="65">
        <f t="shared" si="1"/>
        <v>16.453333333333333</v>
      </c>
      <c r="M12" s="66">
        <f t="shared" si="2"/>
        <v>1.5317680500989939</v>
      </c>
      <c r="N12" s="66">
        <f t="shared" si="3"/>
        <v>1.4673008323424495</v>
      </c>
      <c r="O12" s="67">
        <v>144997511</v>
      </c>
      <c r="P12" s="19" t="s">
        <v>128</v>
      </c>
      <c r="Q12" s="76" t="s">
        <v>112</v>
      </c>
    </row>
    <row r="13" spans="1:17" ht="22.5">
      <c r="A13" s="75" t="s">
        <v>4</v>
      </c>
      <c r="B13" s="90">
        <v>4</v>
      </c>
      <c r="C13" s="91">
        <f t="shared" si="0"/>
        <v>175.60828872646252</v>
      </c>
      <c r="D13" s="71">
        <v>4</v>
      </c>
      <c r="E13" s="64">
        <v>2208180</v>
      </c>
      <c r="F13" s="64">
        <v>1953631</v>
      </c>
      <c r="G13" s="64">
        <v>1630553</v>
      </c>
      <c r="H13" s="37">
        <v>617</v>
      </c>
      <c r="I13" s="37">
        <v>90</v>
      </c>
      <c r="J13" s="64">
        <f>3848.4+122.4</f>
        <v>3970.8</v>
      </c>
      <c r="K13" s="64">
        <v>286</v>
      </c>
      <c r="L13" s="65">
        <f t="shared" si="1"/>
        <v>13.883916083916084</v>
      </c>
      <c r="M13" s="66">
        <f t="shared" si="2"/>
        <v>1.7982229709534552</v>
      </c>
      <c r="N13" s="66">
        <f t="shared" si="3"/>
        <v>6.435656401944895</v>
      </c>
      <c r="O13" s="67">
        <v>387774711</v>
      </c>
      <c r="P13" s="55"/>
      <c r="Q13" s="77" t="s">
        <v>90</v>
      </c>
    </row>
    <row r="14" spans="1:17" ht="56.25" customHeight="1">
      <c r="A14" s="75" t="s">
        <v>49</v>
      </c>
      <c r="B14" s="90">
        <v>3</v>
      </c>
      <c r="C14" s="91">
        <f t="shared" si="0"/>
        <v>172.68996720789042</v>
      </c>
      <c r="D14" s="71">
        <v>3</v>
      </c>
      <c r="E14" s="64">
        <v>2836658</v>
      </c>
      <c r="F14" s="64">
        <v>2896016</v>
      </c>
      <c r="G14" s="64">
        <v>2783726</v>
      </c>
      <c r="H14" s="37">
        <v>228</v>
      </c>
      <c r="I14" s="37">
        <v>101</v>
      </c>
      <c r="J14" s="64">
        <f>4789+73+198</f>
        <v>5060</v>
      </c>
      <c r="K14" s="64">
        <f>135+1</f>
        <v>136</v>
      </c>
      <c r="L14" s="65">
        <f t="shared" si="1"/>
        <v>37.205882352941174</v>
      </c>
      <c r="M14" s="66">
        <f t="shared" si="2"/>
        <v>1.783789233668634</v>
      </c>
      <c r="N14" s="66">
        <f t="shared" si="3"/>
        <v>22.19298245614035</v>
      </c>
      <c r="O14" s="67">
        <v>489862377</v>
      </c>
      <c r="P14" s="19" t="s">
        <v>129</v>
      </c>
      <c r="Q14" s="77" t="s">
        <v>89</v>
      </c>
    </row>
    <row r="15" spans="1:17" ht="57" customHeight="1">
      <c r="A15" s="75" t="s">
        <v>6</v>
      </c>
      <c r="B15" s="90">
        <v>5</v>
      </c>
      <c r="C15" s="91">
        <f t="shared" si="0"/>
        <v>169.90592420465916</v>
      </c>
      <c r="D15" s="71">
        <v>5</v>
      </c>
      <c r="E15" s="64">
        <v>1552259</v>
      </c>
      <c r="F15" s="64">
        <v>1321045</v>
      </c>
      <c r="G15" s="64">
        <v>983403</v>
      </c>
      <c r="H15" s="87">
        <v>516.8</v>
      </c>
      <c r="I15" s="37">
        <v>55</v>
      </c>
      <c r="J15" s="64">
        <v>1651</v>
      </c>
      <c r="K15" s="64">
        <v>389</v>
      </c>
      <c r="L15" s="65">
        <f t="shared" si="1"/>
        <v>4.244215938303342</v>
      </c>
      <c r="M15" s="66">
        <f t="shared" si="2"/>
        <v>1.0636111628278528</v>
      </c>
      <c r="N15" s="66">
        <f t="shared" si="3"/>
        <v>3.1946594427244586</v>
      </c>
      <c r="O15" s="67">
        <f>244403000+10985000+8350000</f>
        <v>263738000</v>
      </c>
      <c r="P15" s="19" t="s">
        <v>130</v>
      </c>
      <c r="Q15" s="77" t="s">
        <v>91</v>
      </c>
    </row>
    <row r="16" spans="1:17" ht="146.25">
      <c r="A16" s="75" t="s">
        <v>10</v>
      </c>
      <c r="B16" s="90">
        <v>14</v>
      </c>
      <c r="C16" s="91">
        <f t="shared" si="0"/>
        <v>169.3378732755218</v>
      </c>
      <c r="D16" s="71">
        <v>13</v>
      </c>
      <c r="E16" s="64">
        <v>795458</v>
      </c>
      <c r="F16" s="64">
        <v>791926</v>
      </c>
      <c r="G16" s="64">
        <v>741952</v>
      </c>
      <c r="H16" s="87">
        <v>361.5</v>
      </c>
      <c r="I16" s="37">
        <v>34</v>
      </c>
      <c r="J16" s="64">
        <f>949+65</f>
        <v>1014</v>
      </c>
      <c r="K16" s="64">
        <f>154-65</f>
        <v>89</v>
      </c>
      <c r="L16" s="65">
        <f t="shared" si="1"/>
        <v>11.393258426966293</v>
      </c>
      <c r="M16" s="66">
        <f t="shared" si="2"/>
        <v>1.2747373211407769</v>
      </c>
      <c r="N16" s="66">
        <f t="shared" si="3"/>
        <v>2.804979253112033</v>
      </c>
      <c r="O16" s="67">
        <f>12347070+81407796+40946300</f>
        <v>134701166</v>
      </c>
      <c r="P16" s="19"/>
      <c r="Q16" s="76" t="s">
        <v>131</v>
      </c>
    </row>
    <row r="17" spans="1:17" ht="58.5" customHeight="1">
      <c r="A17" s="93" t="s">
        <v>40</v>
      </c>
      <c r="B17" s="92">
        <v>8</v>
      </c>
      <c r="C17" s="63">
        <f t="shared" si="0"/>
        <v>165.97272549191896</v>
      </c>
      <c r="D17" s="71">
        <v>9</v>
      </c>
      <c r="E17" s="64">
        <v>1240499</v>
      </c>
      <c r="F17" s="64">
        <v>1188580</v>
      </c>
      <c r="G17" s="64">
        <v>1006877</v>
      </c>
      <c r="H17" s="87">
        <v>384.7</v>
      </c>
      <c r="I17" s="37">
        <v>56</v>
      </c>
      <c r="J17" s="64">
        <v>1757.6</v>
      </c>
      <c r="K17" s="64">
        <v>198.2</v>
      </c>
      <c r="L17" s="65">
        <f t="shared" si="1"/>
        <v>8.867810292633703</v>
      </c>
      <c r="M17" s="66">
        <f t="shared" si="2"/>
        <v>1.4168491873028515</v>
      </c>
      <c r="N17" s="66">
        <f t="shared" si="3"/>
        <v>4.568754873927736</v>
      </c>
      <c r="O17" s="67">
        <v>205889000</v>
      </c>
      <c r="P17" s="19" t="s">
        <v>132</v>
      </c>
      <c r="Q17" s="77" t="s">
        <v>117</v>
      </c>
    </row>
    <row r="18" spans="1:17" ht="33.75">
      <c r="A18" s="75" t="s">
        <v>25</v>
      </c>
      <c r="B18" s="90">
        <v>20</v>
      </c>
      <c r="C18" s="91">
        <f t="shared" si="0"/>
        <v>162.68640016207482</v>
      </c>
      <c r="D18" s="71">
        <v>22</v>
      </c>
      <c r="E18" s="64">
        <v>602191</v>
      </c>
      <c r="F18" s="64">
        <v>596974</v>
      </c>
      <c r="G18" s="64">
        <v>628088</v>
      </c>
      <c r="H18" s="87">
        <v>96.1</v>
      </c>
      <c r="I18" s="37">
        <v>36</v>
      </c>
      <c r="J18" s="64">
        <v>1094</v>
      </c>
      <c r="K18" s="37">
        <v>49</v>
      </c>
      <c r="L18" s="65">
        <f t="shared" si="1"/>
        <v>22.3265306122449</v>
      </c>
      <c r="M18" s="66">
        <f t="shared" si="2"/>
        <v>1.8166993528631281</v>
      </c>
      <c r="N18" s="66">
        <f t="shared" si="3"/>
        <v>11.38397502601457</v>
      </c>
      <c r="O18" s="67">
        <v>97968286</v>
      </c>
      <c r="P18" s="19" t="s">
        <v>133</v>
      </c>
      <c r="Q18" s="76" t="s">
        <v>103</v>
      </c>
    </row>
    <row r="19" spans="1:17" ht="67.5">
      <c r="A19" s="93" t="s">
        <v>13</v>
      </c>
      <c r="B19" s="92">
        <v>16</v>
      </c>
      <c r="C19" s="63">
        <f t="shared" si="0"/>
        <v>158.68594783292107</v>
      </c>
      <c r="D19" s="71">
        <v>16</v>
      </c>
      <c r="E19" s="64">
        <v>743074</v>
      </c>
      <c r="F19" s="64">
        <v>656562</v>
      </c>
      <c r="G19" s="64">
        <v>465622</v>
      </c>
      <c r="H19" s="87">
        <v>271.8</v>
      </c>
      <c r="I19" s="37">
        <v>42</v>
      </c>
      <c r="J19" s="64">
        <v>1079</v>
      </c>
      <c r="K19" s="64">
        <f>67+8</f>
        <v>75</v>
      </c>
      <c r="L19" s="65">
        <f t="shared" si="1"/>
        <v>14.386666666666667</v>
      </c>
      <c r="M19" s="66">
        <f t="shared" si="2"/>
        <v>1.4520761054753633</v>
      </c>
      <c r="N19" s="66">
        <f t="shared" si="3"/>
        <v>3.969830757910228</v>
      </c>
      <c r="O19" s="67">
        <f>116888512+1026890</f>
        <v>117915402</v>
      </c>
      <c r="P19" s="19" t="s">
        <v>82</v>
      </c>
      <c r="Q19" s="76" t="s">
        <v>107</v>
      </c>
    </row>
    <row r="20" spans="1:17" ht="45">
      <c r="A20" s="75" t="s">
        <v>3</v>
      </c>
      <c r="B20" s="90">
        <v>1</v>
      </c>
      <c r="C20" s="94">
        <f t="shared" si="0"/>
        <v>157.56057995822601</v>
      </c>
      <c r="D20" s="71">
        <v>1</v>
      </c>
      <c r="E20" s="64">
        <v>8274527</v>
      </c>
      <c r="F20" s="64">
        <v>8008278</v>
      </c>
      <c r="G20" s="64">
        <v>7322564</v>
      </c>
      <c r="H20" s="37">
        <v>322</v>
      </c>
      <c r="I20" s="37">
        <v>251</v>
      </c>
      <c r="J20" s="64">
        <f>11264+3107</f>
        <v>14371</v>
      </c>
      <c r="K20" s="64">
        <v>1622</v>
      </c>
      <c r="L20" s="65">
        <f t="shared" si="1"/>
        <v>8.860049321824908</v>
      </c>
      <c r="M20" s="66">
        <f t="shared" si="2"/>
        <v>1.7367760114868198</v>
      </c>
      <c r="N20" s="66">
        <f t="shared" si="3"/>
        <v>44.630434782608695</v>
      </c>
      <c r="O20" s="68">
        <v>1303739273</v>
      </c>
      <c r="P20" s="38" t="s">
        <v>86</v>
      </c>
      <c r="Q20" s="77" t="s">
        <v>87</v>
      </c>
    </row>
    <row r="21" spans="1:17" ht="22.5">
      <c r="A21" s="93" t="s">
        <v>7</v>
      </c>
      <c r="B21" s="92">
        <v>7</v>
      </c>
      <c r="C21" s="63">
        <f t="shared" si="0"/>
        <v>152.8379739710937</v>
      </c>
      <c r="D21" s="71">
        <v>7</v>
      </c>
      <c r="E21" s="64">
        <v>1328984</v>
      </c>
      <c r="F21" s="64">
        <v>1144646</v>
      </c>
      <c r="G21" s="64">
        <v>935933</v>
      </c>
      <c r="H21" s="37">
        <v>503</v>
      </c>
      <c r="I21" s="37">
        <v>50</v>
      </c>
      <c r="J21" s="64">
        <v>1564</v>
      </c>
      <c r="K21" s="64">
        <v>106</v>
      </c>
      <c r="L21" s="65">
        <f t="shared" si="1"/>
        <v>14.754716981132075</v>
      </c>
      <c r="M21" s="66">
        <f t="shared" si="2"/>
        <v>1.1768388483232304</v>
      </c>
      <c r="N21" s="66">
        <f t="shared" si="3"/>
        <v>3.10934393638171</v>
      </c>
      <c r="O21" s="67">
        <v>203119222</v>
      </c>
      <c r="P21" s="19"/>
      <c r="Q21" s="76" t="s">
        <v>92</v>
      </c>
    </row>
    <row r="22" spans="1:17" ht="45">
      <c r="A22" s="75" t="s">
        <v>43</v>
      </c>
      <c r="B22" s="90">
        <v>9</v>
      </c>
      <c r="C22" s="91">
        <f t="shared" si="0"/>
        <v>147.3170436343628</v>
      </c>
      <c r="D22" s="71">
        <v>8</v>
      </c>
      <c r="E22" s="64">
        <v>1266731</v>
      </c>
      <c r="F22" s="64">
        <v>1223400</v>
      </c>
      <c r="G22" s="64">
        <v>1110549</v>
      </c>
      <c r="H22" s="37">
        <v>331</v>
      </c>
      <c r="I22" s="37">
        <v>47</v>
      </c>
      <c r="J22" s="64">
        <v>959.29</v>
      </c>
      <c r="K22" s="64">
        <v>264.61</v>
      </c>
      <c r="L22" s="65">
        <f t="shared" si="1"/>
        <v>3.6252976078001584</v>
      </c>
      <c r="M22" s="66">
        <f t="shared" si="2"/>
        <v>0.757295747873858</v>
      </c>
      <c r="N22" s="66">
        <f t="shared" si="3"/>
        <v>2.898157099697885</v>
      </c>
      <c r="O22" s="67">
        <f>179943098+6667968</f>
        <v>186611066</v>
      </c>
      <c r="P22" s="19" t="s">
        <v>134</v>
      </c>
      <c r="Q22" s="77" t="s">
        <v>93</v>
      </c>
    </row>
    <row r="23" spans="1:17" ht="45">
      <c r="A23" s="75" t="s">
        <v>39</v>
      </c>
      <c r="B23" s="90">
        <v>17</v>
      </c>
      <c r="C23" s="91">
        <f t="shared" si="0"/>
        <v>142.99924026646408</v>
      </c>
      <c r="D23" s="71">
        <v>17</v>
      </c>
      <c r="E23" s="64">
        <v>681818</v>
      </c>
      <c r="F23" s="64">
        <v>534694</v>
      </c>
      <c r="G23" s="64">
        <v>447619</v>
      </c>
      <c r="H23" s="37">
        <v>344</v>
      </c>
      <c r="I23" s="37">
        <v>40</v>
      </c>
      <c r="J23" s="64">
        <v>853</v>
      </c>
      <c r="K23" s="64">
        <v>47</v>
      </c>
      <c r="L23" s="65">
        <f t="shared" si="1"/>
        <v>18.148936170212767</v>
      </c>
      <c r="M23" s="66">
        <f t="shared" si="2"/>
        <v>1.2510670002845334</v>
      </c>
      <c r="N23" s="66">
        <f t="shared" si="3"/>
        <v>2.479651162790698</v>
      </c>
      <c r="O23" s="67">
        <v>97499456</v>
      </c>
      <c r="P23" s="19" t="s">
        <v>135</v>
      </c>
      <c r="Q23" s="76" t="s">
        <v>94</v>
      </c>
    </row>
    <row r="24" spans="1:17" ht="22.5">
      <c r="A24" s="93" t="s">
        <v>9</v>
      </c>
      <c r="B24" s="92">
        <v>11</v>
      </c>
      <c r="C24" s="63">
        <f t="shared" si="0"/>
        <v>142.98357057513627</v>
      </c>
      <c r="D24" s="71">
        <v>10</v>
      </c>
      <c r="E24" s="64">
        <v>939899</v>
      </c>
      <c r="F24" s="64">
        <v>894943</v>
      </c>
      <c r="G24" s="64">
        <v>782248</v>
      </c>
      <c r="H24" s="87">
        <v>177.8</v>
      </c>
      <c r="I24" s="37">
        <v>30</v>
      </c>
      <c r="J24" s="64">
        <v>758</v>
      </c>
      <c r="K24" s="64">
        <v>111</v>
      </c>
      <c r="L24" s="65">
        <f t="shared" si="1"/>
        <v>6.828828828828829</v>
      </c>
      <c r="M24" s="66">
        <f t="shared" si="2"/>
        <v>0.8064696313114494</v>
      </c>
      <c r="N24" s="66">
        <f t="shared" si="3"/>
        <v>4.263217097862767</v>
      </c>
      <c r="O24" s="67">
        <v>134390115</v>
      </c>
      <c r="P24" s="69"/>
      <c r="Q24" s="76" t="s">
        <v>95</v>
      </c>
    </row>
    <row r="25" spans="1:17" ht="33.75">
      <c r="A25" s="93" t="s">
        <v>48</v>
      </c>
      <c r="B25" s="92">
        <v>2</v>
      </c>
      <c r="C25" s="63">
        <f t="shared" si="0"/>
        <v>137.8043877173125</v>
      </c>
      <c r="D25" s="71">
        <v>2</v>
      </c>
      <c r="E25" s="64">
        <v>3834340</v>
      </c>
      <c r="F25" s="64">
        <v>3694820</v>
      </c>
      <c r="G25" s="64">
        <v>3485398</v>
      </c>
      <c r="H25" s="37">
        <v>471</v>
      </c>
      <c r="I25" s="37">
        <v>106</v>
      </c>
      <c r="J25" s="64">
        <v>3594</v>
      </c>
      <c r="K25" s="64">
        <v>346</v>
      </c>
      <c r="L25" s="65">
        <f t="shared" si="1"/>
        <v>10.38728323699422</v>
      </c>
      <c r="M25" s="66">
        <f t="shared" si="2"/>
        <v>0.9373190692531178</v>
      </c>
      <c r="N25" s="66">
        <f t="shared" si="3"/>
        <v>7.630573248407643</v>
      </c>
      <c r="O25" s="67">
        <v>528388876</v>
      </c>
      <c r="P25" s="55"/>
      <c r="Q25" s="77" t="s">
        <v>88</v>
      </c>
    </row>
    <row r="26" spans="1:17" ht="33" customHeight="1">
      <c r="A26" s="93" t="s">
        <v>38</v>
      </c>
      <c r="B26" s="92">
        <v>26</v>
      </c>
      <c r="C26" s="63">
        <f t="shared" si="0"/>
        <v>133.22580063967789</v>
      </c>
      <c r="D26" s="71">
        <v>19</v>
      </c>
      <c r="E26" s="64">
        <v>671588</v>
      </c>
      <c r="F26" s="64">
        <v>540828</v>
      </c>
      <c r="G26" s="64">
        <v>395934</v>
      </c>
      <c r="H26" s="37">
        <v>287</v>
      </c>
      <c r="I26" s="37">
        <v>38</v>
      </c>
      <c r="J26" s="64">
        <v>965</v>
      </c>
      <c r="K26" s="64">
        <v>118</v>
      </c>
      <c r="L26" s="65">
        <f t="shared" si="1"/>
        <v>8.177966101694915</v>
      </c>
      <c r="M26" s="66">
        <f t="shared" si="2"/>
        <v>1.4368928569301418</v>
      </c>
      <c r="N26" s="66">
        <f t="shared" si="3"/>
        <v>3.362369337979094</v>
      </c>
      <c r="O26" s="67">
        <v>89472849</v>
      </c>
      <c r="P26" s="19" t="s">
        <v>136</v>
      </c>
      <c r="Q26" s="76" t="s">
        <v>105</v>
      </c>
    </row>
    <row r="27" spans="1:17" ht="70.5" customHeight="1" thickBot="1">
      <c r="A27" s="96" t="s">
        <v>32</v>
      </c>
      <c r="B27" s="95">
        <v>23</v>
      </c>
      <c r="C27" s="79">
        <f t="shared" si="0"/>
        <v>113.48892510129129</v>
      </c>
      <c r="D27" s="80">
        <v>21</v>
      </c>
      <c r="E27" s="81">
        <v>606913</v>
      </c>
      <c r="F27" s="81">
        <v>563662</v>
      </c>
      <c r="G27" s="81">
        <v>515342</v>
      </c>
      <c r="H27" s="99">
        <v>250.9</v>
      </c>
      <c r="I27" s="78">
        <v>35</v>
      </c>
      <c r="J27" s="81">
        <f>874+20.84</f>
        <v>894.84</v>
      </c>
      <c r="K27" s="81">
        <f>81.4</f>
        <v>81.4</v>
      </c>
      <c r="L27" s="82">
        <f t="shared" si="1"/>
        <v>10.993120393120392</v>
      </c>
      <c r="M27" s="83">
        <f t="shared" si="2"/>
        <v>1.4744123128026587</v>
      </c>
      <c r="N27" s="83">
        <f t="shared" si="3"/>
        <v>3.5665205261060184</v>
      </c>
      <c r="O27" s="84">
        <v>68877904</v>
      </c>
      <c r="P27" s="85" t="s">
        <v>137</v>
      </c>
      <c r="Q27" s="86" t="s">
        <v>104</v>
      </c>
    </row>
    <row r="28" spans="5:8" ht="12.75">
      <c r="E28" s="98"/>
      <c r="H28" s="98"/>
    </row>
    <row r="35" ht="12.75"/>
    <row r="36" ht="12.75"/>
    <row r="37" ht="12.75"/>
    <row r="38" ht="12.75"/>
    <row r="44" ht="12.75"/>
    <row r="45" ht="12.75"/>
    <row r="46" ht="12.75"/>
    <row r="47" ht="12.75"/>
    <row r="48" ht="12.75"/>
    <row r="49" ht="12.75"/>
  </sheetData>
  <sheetProtection/>
  <mergeCells count="1">
    <mergeCell ref="A1:Q1"/>
  </mergeCells>
  <printOptions horizontalCentered="1"/>
  <pageMargins left="0.5" right="0.5" top="0.75" bottom="0.75" header="0.5" footer="0.5"/>
  <pageSetup fitToHeight="1" fitToWidth="1" horizontalDpi="600" verticalDpi="600" orientation="portrait" paperSize="17" scale="7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B1">
      <pane xSplit="2" ySplit="2" topLeftCell="D5" activePane="bottomRight" state="frozen"/>
      <selection pane="topLeft" activeCell="B1" sqref="B1"/>
      <selection pane="topRight" activeCell="D1" sqref="D1"/>
      <selection pane="bottomLeft" activeCell="B3" sqref="B3"/>
      <selection pane="bottomRight" activeCell="B3" sqref="B3"/>
    </sheetView>
  </sheetViews>
  <sheetFormatPr defaultColWidth="9.140625" defaultRowHeight="12.75"/>
  <cols>
    <col min="1" max="1" width="0" style="57" hidden="1" customWidth="1"/>
    <col min="2" max="2" width="13.57421875" style="57" customWidth="1"/>
    <col min="3" max="3" width="13.00390625" style="57" customWidth="1"/>
    <col min="4" max="4" width="6.00390625" style="57" customWidth="1"/>
    <col min="5" max="5" width="11.8515625" style="57" customWidth="1"/>
    <col min="6" max="6" width="7.7109375" style="57" customWidth="1"/>
    <col min="7" max="7" width="10.421875" style="57" customWidth="1"/>
    <col min="8" max="8" width="12.7109375" style="57" customWidth="1"/>
    <col min="9" max="9" width="13.28125" style="57" customWidth="1"/>
    <col min="10" max="10" width="12.28125" style="57" customWidth="1"/>
    <col min="11" max="11" width="13.8515625" style="57" customWidth="1"/>
    <col min="12" max="12" width="26.8515625" style="57" customWidth="1"/>
    <col min="13" max="13" width="31.57421875" style="57" customWidth="1"/>
    <col min="14" max="16384" width="9.140625" style="57" customWidth="1"/>
  </cols>
  <sheetData>
    <row r="1" spans="1:13" ht="30.75" customHeight="1" thickBot="1">
      <c r="A1" s="100"/>
      <c r="B1" s="123" t="s">
        <v>141</v>
      </c>
      <c r="C1" s="124"/>
      <c r="D1" s="124"/>
      <c r="E1" s="124"/>
      <c r="F1" s="124"/>
      <c r="G1" s="124"/>
      <c r="H1" s="124"/>
      <c r="I1" s="124"/>
      <c r="J1" s="124"/>
      <c r="K1" s="124"/>
      <c r="L1" s="124"/>
      <c r="M1" s="125"/>
    </row>
    <row r="2" spans="1:13" ht="69" customHeight="1" thickBot="1">
      <c r="A2" s="15" t="s">
        <v>11</v>
      </c>
      <c r="B2" s="72" t="s">
        <v>2</v>
      </c>
      <c r="C2" s="9" t="s">
        <v>142</v>
      </c>
      <c r="D2" s="15" t="s">
        <v>140</v>
      </c>
      <c r="E2" s="9" t="s">
        <v>74</v>
      </c>
      <c r="F2" s="9" t="s">
        <v>52</v>
      </c>
      <c r="G2" s="9" t="s">
        <v>164</v>
      </c>
      <c r="H2" s="15" t="s">
        <v>68</v>
      </c>
      <c r="I2" s="9" t="s">
        <v>54</v>
      </c>
      <c r="J2" s="72" t="s">
        <v>56</v>
      </c>
      <c r="K2" s="9" t="s">
        <v>57</v>
      </c>
      <c r="L2" s="9" t="s">
        <v>60</v>
      </c>
      <c r="M2" s="111" t="s">
        <v>80</v>
      </c>
    </row>
    <row r="3" spans="1:13" ht="67.5">
      <c r="A3" s="89">
        <v>6</v>
      </c>
      <c r="B3" s="116" t="s">
        <v>5</v>
      </c>
      <c r="C3" s="117">
        <f aca="true" t="shared" si="0" ref="C3:C27">K3/E3</f>
        <v>504.60289010881365</v>
      </c>
      <c r="D3" s="70">
        <v>6</v>
      </c>
      <c r="E3" s="59">
        <v>1449634</v>
      </c>
      <c r="F3" s="58">
        <v>135</v>
      </c>
      <c r="G3" s="59">
        <v>6624</v>
      </c>
      <c r="H3" s="59">
        <v>884</v>
      </c>
      <c r="I3" s="60">
        <f aca="true" t="shared" si="1" ref="I3:I27">G3/(E3/1000)</f>
        <v>4.569429249038033</v>
      </c>
      <c r="J3" s="60">
        <f>G3/F3</f>
        <v>49.06666666666667</v>
      </c>
      <c r="K3" s="62">
        <f>513834581+217654925</f>
        <v>731489506</v>
      </c>
      <c r="L3" s="109" t="s">
        <v>146</v>
      </c>
      <c r="M3" s="110" t="s">
        <v>147</v>
      </c>
    </row>
    <row r="4" spans="1:13" ht="78.75">
      <c r="A4" s="90">
        <v>27</v>
      </c>
      <c r="B4" s="113" t="s">
        <v>47</v>
      </c>
      <c r="C4" s="91">
        <f t="shared" si="0"/>
        <v>466.87836945353007</v>
      </c>
      <c r="D4" s="71">
        <v>20</v>
      </c>
      <c r="E4" s="64">
        <v>637455</v>
      </c>
      <c r="F4" s="87">
        <v>92.1</v>
      </c>
      <c r="G4" s="64">
        <v>3102</v>
      </c>
      <c r="H4" s="64">
        <v>625</v>
      </c>
      <c r="I4" s="65">
        <f t="shared" si="1"/>
        <v>4.866225851236558</v>
      </c>
      <c r="J4" s="65">
        <f aca="true" t="shared" si="2" ref="J4:J27">G4/F4</f>
        <v>33.68078175895766</v>
      </c>
      <c r="K4" s="67">
        <v>297613951</v>
      </c>
      <c r="L4" s="101" t="s">
        <v>148</v>
      </c>
      <c r="M4" s="106" t="s">
        <v>149</v>
      </c>
    </row>
    <row r="5" spans="1:13" ht="33.75">
      <c r="A5" s="90">
        <v>13</v>
      </c>
      <c r="B5" s="113" t="s">
        <v>42</v>
      </c>
      <c r="C5" s="91">
        <f t="shared" si="0"/>
        <v>464.81607135387253</v>
      </c>
      <c r="D5" s="71">
        <v>14</v>
      </c>
      <c r="E5" s="64">
        <v>764976</v>
      </c>
      <c r="F5" s="37">
        <v>49</v>
      </c>
      <c r="G5" s="64">
        <v>2491</v>
      </c>
      <c r="H5" s="64">
        <v>357.38</v>
      </c>
      <c r="I5" s="65">
        <f t="shared" si="1"/>
        <v>3.2563113091129656</v>
      </c>
      <c r="J5" s="65">
        <f t="shared" si="2"/>
        <v>50.83673469387755</v>
      </c>
      <c r="K5" s="67">
        <v>355573139</v>
      </c>
      <c r="L5" s="101" t="s">
        <v>150</v>
      </c>
      <c r="M5" s="106" t="s">
        <v>97</v>
      </c>
    </row>
    <row r="6" spans="1:13" ht="22.5">
      <c r="A6" s="90">
        <v>10</v>
      </c>
      <c r="B6" s="113" t="s">
        <v>8</v>
      </c>
      <c r="C6" s="91">
        <f t="shared" si="0"/>
        <v>463.75608319737563</v>
      </c>
      <c r="D6" s="71">
        <v>11</v>
      </c>
      <c r="E6" s="64">
        <v>916952</v>
      </c>
      <c r="F6" s="37">
        <v>140</v>
      </c>
      <c r="G6" s="64">
        <v>3318</v>
      </c>
      <c r="H6" s="64">
        <v>378</v>
      </c>
      <c r="I6" s="65">
        <f t="shared" si="1"/>
        <v>3.618510020153727</v>
      </c>
      <c r="J6" s="65">
        <f t="shared" si="2"/>
        <v>23.7</v>
      </c>
      <c r="K6" s="67">
        <v>425242068</v>
      </c>
      <c r="L6" s="101"/>
      <c r="M6" s="106" t="s">
        <v>96</v>
      </c>
    </row>
    <row r="7" spans="1:13" ht="22.5">
      <c r="A7" s="90">
        <v>19</v>
      </c>
      <c r="B7" s="113" t="s">
        <v>14</v>
      </c>
      <c r="C7" s="91">
        <f t="shared" si="0"/>
        <v>447.7197535334053</v>
      </c>
      <c r="D7" s="71">
        <v>23</v>
      </c>
      <c r="E7" s="64">
        <v>599351</v>
      </c>
      <c r="F7" s="87">
        <v>47.3</v>
      </c>
      <c r="G7" s="64">
        <v>2363</v>
      </c>
      <c r="H7" s="64">
        <v>863</v>
      </c>
      <c r="I7" s="65">
        <f t="shared" si="1"/>
        <v>3.942597910072729</v>
      </c>
      <c r="J7" s="65">
        <f t="shared" si="2"/>
        <v>49.957716701902754</v>
      </c>
      <c r="K7" s="67">
        <v>268341282</v>
      </c>
      <c r="L7" s="101"/>
      <c r="M7" s="106" t="s">
        <v>106</v>
      </c>
    </row>
    <row r="8" spans="1:13" ht="78.75">
      <c r="A8" s="90">
        <v>3</v>
      </c>
      <c r="B8" s="93" t="s">
        <v>49</v>
      </c>
      <c r="C8" s="112">
        <f t="shared" si="0"/>
        <v>433.82057653760165</v>
      </c>
      <c r="D8" s="71">
        <v>3</v>
      </c>
      <c r="E8" s="64">
        <v>2836658</v>
      </c>
      <c r="F8" s="37">
        <v>228</v>
      </c>
      <c r="G8" s="64">
        <v>13486</v>
      </c>
      <c r="H8" s="64">
        <f>16094-G8</f>
        <v>2608</v>
      </c>
      <c r="I8" s="65">
        <f t="shared" si="1"/>
        <v>4.754186087995099</v>
      </c>
      <c r="J8" s="65">
        <f t="shared" si="2"/>
        <v>59.14912280701754</v>
      </c>
      <c r="K8" s="67">
        <f>1267776609-37176000</f>
        <v>1230600609</v>
      </c>
      <c r="L8" s="101" t="s">
        <v>144</v>
      </c>
      <c r="M8" s="105" t="s">
        <v>89</v>
      </c>
    </row>
    <row r="9" spans="1:13" ht="45">
      <c r="A9" s="90">
        <v>1</v>
      </c>
      <c r="B9" s="93" t="s">
        <v>3</v>
      </c>
      <c r="C9" s="118">
        <f t="shared" si="0"/>
        <v>430.477225828135</v>
      </c>
      <c r="D9" s="71">
        <v>1</v>
      </c>
      <c r="E9" s="64">
        <v>8274527</v>
      </c>
      <c r="F9" s="37">
        <v>322</v>
      </c>
      <c r="G9" s="64">
        <v>35624</v>
      </c>
      <c r="H9" s="64">
        <v>10362</v>
      </c>
      <c r="I9" s="65">
        <f t="shared" si="1"/>
        <v>4.3052611949903605</v>
      </c>
      <c r="J9" s="65">
        <f t="shared" si="2"/>
        <v>110.63354037267081</v>
      </c>
      <c r="K9" s="68">
        <v>3561995428</v>
      </c>
      <c r="L9" s="104"/>
      <c r="M9" s="105" t="s">
        <v>151</v>
      </c>
    </row>
    <row r="10" spans="1:13" ht="33.75">
      <c r="A10" s="90">
        <v>12</v>
      </c>
      <c r="B10" s="113" t="s">
        <v>65</v>
      </c>
      <c r="C10" s="91">
        <f t="shared" si="0"/>
        <v>400.17122038716246</v>
      </c>
      <c r="D10" s="71">
        <v>12</v>
      </c>
      <c r="E10" s="64">
        <v>805605</v>
      </c>
      <c r="F10" s="37">
        <v>841</v>
      </c>
      <c r="G10" s="64">
        <v>1665</v>
      </c>
      <c r="H10" s="64">
        <v>1337</v>
      </c>
      <c r="I10" s="65">
        <f t="shared" si="1"/>
        <v>2.066769694825628</v>
      </c>
      <c r="J10" s="65">
        <f t="shared" si="2"/>
        <v>1.9797859690844233</v>
      </c>
      <c r="K10" s="67">
        <v>322379936</v>
      </c>
      <c r="L10" s="101" t="s">
        <v>152</v>
      </c>
      <c r="M10" s="106" t="s">
        <v>153</v>
      </c>
    </row>
    <row r="11" spans="1:13" ht="22.5">
      <c r="A11" s="90">
        <v>24</v>
      </c>
      <c r="B11" s="113" t="s">
        <v>33</v>
      </c>
      <c r="C11" s="91">
        <f t="shared" si="0"/>
        <v>364.6543040339274</v>
      </c>
      <c r="D11" s="71">
        <v>24</v>
      </c>
      <c r="E11" s="64">
        <v>594210</v>
      </c>
      <c r="F11" s="87">
        <v>83.9</v>
      </c>
      <c r="G11" s="64">
        <v>1326</v>
      </c>
      <c r="H11" s="64">
        <v>547</v>
      </c>
      <c r="I11" s="65">
        <f t="shared" si="1"/>
        <v>2.2315343060534154</v>
      </c>
      <c r="J11" s="65">
        <f t="shared" si="2"/>
        <v>15.804529201430274</v>
      </c>
      <c r="K11" s="67">
        <v>216681234</v>
      </c>
      <c r="L11" s="104"/>
      <c r="M11" s="106" t="s">
        <v>154</v>
      </c>
    </row>
    <row r="12" spans="1:13" ht="33.75">
      <c r="A12" s="90">
        <v>20</v>
      </c>
      <c r="B12" s="113" t="s">
        <v>25</v>
      </c>
      <c r="C12" s="91">
        <f t="shared" si="0"/>
        <v>357.83907763483677</v>
      </c>
      <c r="D12" s="71">
        <v>22</v>
      </c>
      <c r="E12" s="64">
        <v>602191</v>
      </c>
      <c r="F12" s="87">
        <v>96.1</v>
      </c>
      <c r="G12" s="64">
        <v>1876</v>
      </c>
      <c r="H12" s="64">
        <v>854</v>
      </c>
      <c r="I12" s="65">
        <f t="shared" si="1"/>
        <v>3.1152906635934445</v>
      </c>
      <c r="J12" s="65">
        <f t="shared" si="2"/>
        <v>19.5213319458897</v>
      </c>
      <c r="K12" s="67">
        <v>215487472</v>
      </c>
      <c r="L12" s="101" t="s">
        <v>155</v>
      </c>
      <c r="M12" s="106" t="s">
        <v>156</v>
      </c>
    </row>
    <row r="13" spans="1:13" ht="22.5">
      <c r="A13" s="90">
        <v>15</v>
      </c>
      <c r="B13" s="93" t="s">
        <v>12</v>
      </c>
      <c r="C13" s="112">
        <f t="shared" si="0"/>
        <v>339.5732479221135</v>
      </c>
      <c r="D13" s="71">
        <v>15</v>
      </c>
      <c r="E13" s="64">
        <v>747755</v>
      </c>
      <c r="F13" s="37">
        <v>227</v>
      </c>
      <c r="G13" s="64">
        <v>1927</v>
      </c>
      <c r="H13" s="64">
        <v>370</v>
      </c>
      <c r="I13" s="65">
        <f t="shared" si="1"/>
        <v>2.577047294902742</v>
      </c>
      <c r="J13" s="65">
        <f t="shared" si="2"/>
        <v>8.48898678414097</v>
      </c>
      <c r="K13" s="67">
        <v>253917594</v>
      </c>
      <c r="L13" s="104"/>
      <c r="M13" s="106" t="s">
        <v>98</v>
      </c>
    </row>
    <row r="14" spans="1:13" ht="67.5">
      <c r="A14" s="90">
        <v>8</v>
      </c>
      <c r="B14" s="113" t="s">
        <v>40</v>
      </c>
      <c r="C14" s="91">
        <f t="shared" si="0"/>
        <v>323.3154303227975</v>
      </c>
      <c r="D14" s="71">
        <v>9</v>
      </c>
      <c r="E14" s="64">
        <v>1240499</v>
      </c>
      <c r="F14" s="87">
        <v>384.7</v>
      </c>
      <c r="G14" s="64">
        <v>3497</v>
      </c>
      <c r="H14" s="64">
        <v>556</v>
      </c>
      <c r="I14" s="65">
        <f t="shared" si="1"/>
        <v>2.819026859352567</v>
      </c>
      <c r="J14" s="65">
        <f t="shared" si="2"/>
        <v>9.090200155965688</v>
      </c>
      <c r="K14" s="67">
        <f>401072468</f>
        <v>401072468</v>
      </c>
      <c r="L14" s="101" t="s">
        <v>157</v>
      </c>
      <c r="M14" s="105" t="s">
        <v>117</v>
      </c>
    </row>
    <row r="15" spans="1:13" ht="57" customHeight="1">
      <c r="A15" s="90">
        <v>5</v>
      </c>
      <c r="B15" s="93" t="s">
        <v>6</v>
      </c>
      <c r="C15" s="112">
        <f t="shared" si="0"/>
        <v>319.73336923799445</v>
      </c>
      <c r="D15" s="71">
        <v>5</v>
      </c>
      <c r="E15" s="64">
        <v>1552259</v>
      </c>
      <c r="F15" s="87">
        <v>516.8</v>
      </c>
      <c r="G15" s="64">
        <v>3234</v>
      </c>
      <c r="H15" s="64">
        <f>4439-G15</f>
        <v>1205</v>
      </c>
      <c r="I15" s="65">
        <f t="shared" si="1"/>
        <v>2.083415203261827</v>
      </c>
      <c r="J15" s="65">
        <f t="shared" si="2"/>
        <v>6.257739938080496</v>
      </c>
      <c r="K15" s="67">
        <f>452488000+26155000+17666000</f>
        <v>496309000</v>
      </c>
      <c r="L15" s="101" t="s">
        <v>145</v>
      </c>
      <c r="M15" s="105" t="s">
        <v>91</v>
      </c>
    </row>
    <row r="16" spans="1:13" ht="33.75">
      <c r="A16" s="90">
        <v>9</v>
      </c>
      <c r="B16" s="113" t="s">
        <v>43</v>
      </c>
      <c r="C16" s="91">
        <f t="shared" si="0"/>
        <v>310.7720573665601</v>
      </c>
      <c r="D16" s="71">
        <v>8</v>
      </c>
      <c r="E16" s="64">
        <v>1266731</v>
      </c>
      <c r="F16" s="37">
        <v>331</v>
      </c>
      <c r="G16" s="64">
        <v>2126.75</v>
      </c>
      <c r="H16" s="64">
        <v>691.75</v>
      </c>
      <c r="I16" s="65">
        <f t="shared" si="1"/>
        <v>1.6789278860310517</v>
      </c>
      <c r="J16" s="65">
        <f t="shared" si="2"/>
        <v>6.425226586102719</v>
      </c>
      <c r="K16" s="67">
        <f>392336695+1327904</f>
        <v>393664599</v>
      </c>
      <c r="L16" s="101" t="s">
        <v>158</v>
      </c>
      <c r="M16" s="105" t="s">
        <v>93</v>
      </c>
    </row>
    <row r="17" spans="1:13" ht="22.5">
      <c r="A17" s="90">
        <v>2</v>
      </c>
      <c r="B17" s="93" t="s">
        <v>48</v>
      </c>
      <c r="C17" s="112">
        <f t="shared" si="0"/>
        <v>303.63967905819516</v>
      </c>
      <c r="D17" s="71">
        <v>2</v>
      </c>
      <c r="E17" s="64">
        <v>3834340</v>
      </c>
      <c r="F17" s="37">
        <v>471</v>
      </c>
      <c r="G17" s="64">
        <v>10466</v>
      </c>
      <c r="H17" s="64">
        <v>3778</v>
      </c>
      <c r="I17" s="65">
        <f t="shared" si="1"/>
        <v>2.7295440675579106</v>
      </c>
      <c r="J17" s="65">
        <f t="shared" si="2"/>
        <v>22.220806794055203</v>
      </c>
      <c r="K17" s="67">
        <v>1164257767</v>
      </c>
      <c r="L17" s="102"/>
      <c r="M17" s="105" t="s">
        <v>95</v>
      </c>
    </row>
    <row r="18" spans="1:13" ht="22.5">
      <c r="A18" s="90">
        <v>11</v>
      </c>
      <c r="B18" s="93" t="s">
        <v>9</v>
      </c>
      <c r="C18" s="112">
        <f t="shared" si="0"/>
        <v>299.11950645760874</v>
      </c>
      <c r="D18" s="71">
        <v>10</v>
      </c>
      <c r="E18" s="64">
        <v>939899</v>
      </c>
      <c r="F18" s="87">
        <v>177.8</v>
      </c>
      <c r="G18" s="64">
        <v>1366</v>
      </c>
      <c r="H18" s="64">
        <v>400</v>
      </c>
      <c r="I18" s="65">
        <f t="shared" si="1"/>
        <v>1.453347646928021</v>
      </c>
      <c r="J18" s="65">
        <f t="shared" si="2"/>
        <v>7.682789651293588</v>
      </c>
      <c r="K18" s="67">
        <v>281142125</v>
      </c>
      <c r="L18" s="104"/>
      <c r="M18" s="106" t="s">
        <v>95</v>
      </c>
    </row>
    <row r="19" spans="1:13" ht="22.5">
      <c r="A19" s="90">
        <v>16</v>
      </c>
      <c r="B19" s="113" t="s">
        <v>13</v>
      </c>
      <c r="C19" s="91">
        <f t="shared" si="0"/>
        <v>295.6232797810178</v>
      </c>
      <c r="D19" s="71">
        <v>16</v>
      </c>
      <c r="E19" s="64">
        <v>743074</v>
      </c>
      <c r="F19" s="87">
        <v>271.8</v>
      </c>
      <c r="G19" s="64">
        <v>1515</v>
      </c>
      <c r="H19" s="64">
        <v>611.5</v>
      </c>
      <c r="I19" s="65">
        <f t="shared" si="1"/>
        <v>2.038827896010357</v>
      </c>
      <c r="J19" s="65">
        <f t="shared" si="2"/>
        <v>5.573951434878587</v>
      </c>
      <c r="K19" s="67">
        <v>219669973</v>
      </c>
      <c r="L19" s="101"/>
      <c r="M19" s="106" t="s">
        <v>107</v>
      </c>
    </row>
    <row r="20" spans="1:13" ht="45">
      <c r="A20" s="90">
        <v>18</v>
      </c>
      <c r="B20" s="113" t="s">
        <v>26</v>
      </c>
      <c r="C20" s="91">
        <f t="shared" si="0"/>
        <v>286.92873293097614</v>
      </c>
      <c r="D20" s="71">
        <v>18</v>
      </c>
      <c r="E20" s="64">
        <v>674028</v>
      </c>
      <c r="F20" s="37">
        <v>296</v>
      </c>
      <c r="G20" s="64">
        <v>2018</v>
      </c>
      <c r="H20" s="64">
        <v>650.66</v>
      </c>
      <c r="I20" s="65">
        <f t="shared" si="1"/>
        <v>2.9939409045321557</v>
      </c>
      <c r="J20" s="65">
        <f t="shared" si="2"/>
        <v>6.8175675675675675</v>
      </c>
      <c r="K20" s="67">
        <v>193398000</v>
      </c>
      <c r="L20" s="101" t="s">
        <v>159</v>
      </c>
      <c r="M20" s="106" t="s">
        <v>106</v>
      </c>
    </row>
    <row r="21" spans="1:13" ht="22.5">
      <c r="A21" s="90">
        <v>4</v>
      </c>
      <c r="B21" s="113" t="s">
        <v>4</v>
      </c>
      <c r="C21" s="91">
        <f t="shared" si="0"/>
        <v>272.56335353096216</v>
      </c>
      <c r="D21" s="71">
        <v>4</v>
      </c>
      <c r="E21" s="64">
        <v>2208180</v>
      </c>
      <c r="F21" s="37">
        <v>617</v>
      </c>
      <c r="G21" s="64">
        <f>4930.6+202.7</f>
        <v>5133.3</v>
      </c>
      <c r="H21" s="64">
        <v>1239.2</v>
      </c>
      <c r="I21" s="65">
        <f t="shared" si="1"/>
        <v>2.3246746189169363</v>
      </c>
      <c r="J21" s="65">
        <f t="shared" si="2"/>
        <v>8.319773095623987</v>
      </c>
      <c r="K21" s="67">
        <v>601868946</v>
      </c>
      <c r="L21" s="104"/>
      <c r="M21" s="105" t="s">
        <v>106</v>
      </c>
    </row>
    <row r="22" spans="1:13" ht="33.75">
      <c r="A22" s="90">
        <v>26</v>
      </c>
      <c r="B22" s="113" t="s">
        <v>38</v>
      </c>
      <c r="C22" s="91">
        <f t="shared" si="0"/>
        <v>268.25685837150155</v>
      </c>
      <c r="D22" s="71">
        <v>19</v>
      </c>
      <c r="E22" s="64">
        <v>671588</v>
      </c>
      <c r="F22" s="37">
        <v>287</v>
      </c>
      <c r="G22" s="64">
        <v>1637</v>
      </c>
      <c r="H22" s="64">
        <v>481.5</v>
      </c>
      <c r="I22" s="65">
        <f t="shared" si="1"/>
        <v>2.437506328284603</v>
      </c>
      <c r="J22" s="65">
        <f t="shared" si="2"/>
        <v>5.70383275261324</v>
      </c>
      <c r="K22" s="67">
        <v>180158087</v>
      </c>
      <c r="L22" s="101" t="s">
        <v>160</v>
      </c>
      <c r="M22" s="106" t="s">
        <v>161</v>
      </c>
    </row>
    <row r="23" spans="1:13" ht="88.5" customHeight="1">
      <c r="A23" s="90">
        <v>14</v>
      </c>
      <c r="B23" s="113" t="s">
        <v>10</v>
      </c>
      <c r="C23" s="91">
        <f t="shared" si="0"/>
        <v>260.1892959779146</v>
      </c>
      <c r="D23" s="71">
        <v>13</v>
      </c>
      <c r="E23" s="64">
        <v>795458</v>
      </c>
      <c r="F23" s="87">
        <v>361.5</v>
      </c>
      <c r="G23" s="64">
        <v>1740</v>
      </c>
      <c r="H23" s="64">
        <f>320+23+62</f>
        <v>405</v>
      </c>
      <c r="I23" s="65">
        <f t="shared" si="1"/>
        <v>2.187419071780031</v>
      </c>
      <c r="J23" s="65">
        <f t="shared" si="2"/>
        <v>4.813278008298755</v>
      </c>
      <c r="K23" s="67">
        <f>143522+154519273+45985930+6320932</f>
        <v>206969657</v>
      </c>
      <c r="L23" s="101" t="s">
        <v>162</v>
      </c>
      <c r="M23" s="106" t="s">
        <v>163</v>
      </c>
    </row>
    <row r="24" spans="1:13" ht="157.5">
      <c r="A24" s="90">
        <v>22</v>
      </c>
      <c r="B24" s="93" t="s">
        <v>75</v>
      </c>
      <c r="C24" s="112">
        <f t="shared" si="0"/>
        <v>255.95228221737386</v>
      </c>
      <c r="D24" s="71">
        <v>25</v>
      </c>
      <c r="E24" s="64">
        <v>590807</v>
      </c>
      <c r="F24" s="87">
        <v>533</v>
      </c>
      <c r="G24" s="64">
        <v>1305</v>
      </c>
      <c r="H24" s="64">
        <v>391</v>
      </c>
      <c r="I24" s="65">
        <f t="shared" si="1"/>
        <v>2.208843158594939</v>
      </c>
      <c r="J24" s="65">
        <f t="shared" si="2"/>
        <v>2.448405253283302</v>
      </c>
      <c r="K24" s="67">
        <v>151218400</v>
      </c>
      <c r="L24" s="103" t="s">
        <v>77</v>
      </c>
      <c r="M24" s="106" t="s">
        <v>110</v>
      </c>
    </row>
    <row r="25" spans="1:13" ht="22.5">
      <c r="A25" s="90">
        <v>17</v>
      </c>
      <c r="B25" s="93" t="s">
        <v>39</v>
      </c>
      <c r="C25" s="112">
        <f t="shared" si="0"/>
        <v>231.35713636190303</v>
      </c>
      <c r="D25" s="71">
        <v>17</v>
      </c>
      <c r="E25" s="64">
        <v>681818</v>
      </c>
      <c r="F25" s="37">
        <v>344</v>
      </c>
      <c r="G25" s="64">
        <v>1483</v>
      </c>
      <c r="H25" s="64">
        <v>176</v>
      </c>
      <c r="I25" s="65">
        <f t="shared" si="1"/>
        <v>2.1750672466845993</v>
      </c>
      <c r="J25" s="65">
        <f t="shared" si="2"/>
        <v>4.311046511627907</v>
      </c>
      <c r="K25" s="67">
        <v>157743460</v>
      </c>
      <c r="L25" s="101"/>
      <c r="M25" s="106" t="s">
        <v>94</v>
      </c>
    </row>
    <row r="26" spans="1:13" ht="90">
      <c r="A26" s="90">
        <v>7</v>
      </c>
      <c r="B26" s="113" t="s">
        <v>7</v>
      </c>
      <c r="C26" s="91">
        <f t="shared" si="0"/>
        <v>219.84628708848263</v>
      </c>
      <c r="D26" s="71">
        <v>7</v>
      </c>
      <c r="E26" s="64">
        <v>1328984</v>
      </c>
      <c r="F26" s="37">
        <v>503</v>
      </c>
      <c r="G26" s="64">
        <v>2185</v>
      </c>
      <c r="H26" s="64">
        <v>590</v>
      </c>
      <c r="I26" s="65">
        <f t="shared" si="1"/>
        <v>1.6441130969221602</v>
      </c>
      <c r="J26" s="65">
        <f t="shared" si="2"/>
        <v>4.343936381709741</v>
      </c>
      <c r="K26" s="67">
        <f>290099840+2072358</f>
        <v>292172198</v>
      </c>
      <c r="L26" s="101" t="s">
        <v>62</v>
      </c>
      <c r="M26" s="106" t="s">
        <v>92</v>
      </c>
    </row>
    <row r="27" spans="1:13" ht="29.25" customHeight="1" thickBot="1">
      <c r="A27" s="90">
        <v>23</v>
      </c>
      <c r="B27" s="114" t="s">
        <v>32</v>
      </c>
      <c r="C27" s="115">
        <f t="shared" si="0"/>
        <v>172.898430252771</v>
      </c>
      <c r="D27" s="80">
        <v>21</v>
      </c>
      <c r="E27" s="81">
        <v>606913</v>
      </c>
      <c r="F27" s="99">
        <v>250.9</v>
      </c>
      <c r="G27" s="81">
        <v>1003.92</v>
      </c>
      <c r="H27" s="81">
        <v>378.49</v>
      </c>
      <c r="I27" s="82">
        <f t="shared" si="1"/>
        <v>1.6541415326414164</v>
      </c>
      <c r="J27" s="82">
        <f t="shared" si="2"/>
        <v>4.0012754085292945</v>
      </c>
      <c r="K27" s="84">
        <v>104934305</v>
      </c>
      <c r="L27" s="107"/>
      <c r="M27" s="108" t="s">
        <v>104</v>
      </c>
    </row>
    <row r="58" ht="12.75"/>
    <row r="59" ht="12.75"/>
    <row r="60" ht="12.75"/>
    <row r="61" ht="12.75"/>
  </sheetData>
  <sheetProtection/>
  <mergeCells count="1">
    <mergeCell ref="B1:M1"/>
  </mergeCells>
  <printOptions horizontalCentered="1"/>
  <pageMargins left="0.7" right="0.7" top="0.75" bottom="0.75" header="0.3" footer="0.3"/>
  <pageSetup fitToHeight="1" fitToWidth="1" horizontalDpi="600" verticalDpi="600" orientation="portrait" paperSize="17"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Columbus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Columbus</dc:creator>
  <cp:keywords/>
  <dc:description/>
  <cp:lastModifiedBy>Information Technology</cp:lastModifiedBy>
  <cp:lastPrinted>2008-10-27T13:58:56Z</cp:lastPrinted>
  <dcterms:created xsi:type="dcterms:W3CDTF">2003-04-01T13:59:14Z</dcterms:created>
  <dcterms:modified xsi:type="dcterms:W3CDTF">2009-03-30T12:53:31Z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1773354737</vt:i4>
  </property>
  <property fmtid="{D5CDD505-2E9C-101B-9397-08002B2CF9AE}" pid="3" name="_EmailSubject">
    <vt:lpwstr>EAC</vt:lpwstr>
  </property>
  <property fmtid="{D5CDD505-2E9C-101B-9397-08002B2CF9AE}" pid="4" name="_AuthorEmail">
    <vt:lpwstr>ANHeiser@columbus.gov</vt:lpwstr>
  </property>
  <property fmtid="{D5CDD505-2E9C-101B-9397-08002B2CF9AE}" pid="5" name="_AuthorEmailDisplayName">
    <vt:lpwstr>Heiser, Aileen N.</vt:lpwstr>
  </property>
  <property fmtid="{D5CDD505-2E9C-101B-9397-08002B2CF9AE}" pid="6" name="_ReviewingToolsShownOnce">
    <vt:lpwstr/>
  </property>
</Properties>
</file>